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480" yWindow="60" windowWidth="27795" windowHeight="12840"/>
  </bookViews>
  <sheets>
    <sheet name="FY13-14 w FY12-13 Lbr Calc" sheetId="1" r:id="rId1"/>
  </sheets>
  <calcPr calcId="125725"/>
</workbook>
</file>

<file path=xl/calcChain.xml><?xml version="1.0" encoding="utf-8"?>
<calcChain xmlns="http://schemas.openxmlformats.org/spreadsheetml/2006/main">
  <c r="R50" i="1"/>
  <c r="R49"/>
  <c r="R48"/>
  <c r="R47"/>
  <c r="K47"/>
  <c r="D47"/>
  <c r="R46"/>
  <c r="R45"/>
  <c r="R44"/>
  <c r="R43"/>
  <c r="R42"/>
  <c r="R41"/>
  <c r="R36"/>
  <c r="Q36"/>
  <c r="K35"/>
  <c r="N35" s="1"/>
  <c r="N36" s="1"/>
  <c r="R33"/>
  <c r="Q33"/>
  <c r="O32"/>
  <c r="N32"/>
  <c r="I32"/>
  <c r="H32"/>
  <c r="S31"/>
  <c r="K31"/>
  <c r="F31"/>
  <c r="E31"/>
  <c r="D31"/>
  <c r="K30"/>
  <c r="D30"/>
  <c r="E30" s="1"/>
  <c r="K29"/>
  <c r="D29"/>
  <c r="E29" s="1"/>
  <c r="K28"/>
  <c r="H28" s="1"/>
  <c r="K27"/>
  <c r="N27" s="1"/>
  <c r="D27"/>
  <c r="S26"/>
  <c r="K26"/>
  <c r="D26"/>
  <c r="N25"/>
  <c r="L25"/>
  <c r="O25" s="1"/>
  <c r="K25"/>
  <c r="H25" s="1"/>
  <c r="D25"/>
  <c r="S24"/>
  <c r="K24"/>
  <c r="D24"/>
  <c r="S23"/>
  <c r="N23"/>
  <c r="K23"/>
  <c r="D23"/>
  <c r="S22"/>
  <c r="K22"/>
  <c r="N22" s="1"/>
  <c r="E22"/>
  <c r="S21"/>
  <c r="K21"/>
  <c r="K33" s="1"/>
  <c r="D21"/>
  <c r="E21" s="1"/>
  <c r="N20"/>
  <c r="D20"/>
  <c r="N19"/>
  <c r="H19"/>
  <c r="D19"/>
  <c r="R17"/>
  <c r="R38" s="1"/>
  <c r="Q17"/>
  <c r="Q38" s="1"/>
  <c r="N16"/>
  <c r="K16"/>
  <c r="D16"/>
  <c r="K15"/>
  <c r="N15" s="1"/>
  <c r="D15"/>
  <c r="E49" s="1"/>
  <c r="K14"/>
  <c r="L14" s="1"/>
  <c r="O14" s="1"/>
  <c r="D14"/>
  <c r="E48" s="1"/>
  <c r="N13"/>
  <c r="K13"/>
  <c r="D13"/>
  <c r="S12"/>
  <c r="K12"/>
  <c r="D12"/>
  <c r="N11"/>
  <c r="K11"/>
  <c r="L45" s="1"/>
  <c r="D11"/>
  <c r="K10"/>
  <c r="D10"/>
  <c r="K9"/>
  <c r="N9" s="1"/>
  <c r="D9"/>
  <c r="K8"/>
  <c r="L43" s="1"/>
  <c r="D8"/>
  <c r="N7"/>
  <c r="K7"/>
  <c r="D7"/>
  <c r="F6"/>
  <c r="F22" s="1"/>
  <c r="E6"/>
  <c r="E25" s="1"/>
  <c r="N5"/>
  <c r="L5"/>
  <c r="L41" s="1"/>
  <c r="K5"/>
  <c r="L19" s="1"/>
  <c r="L7" l="1"/>
  <c r="L17" s="1"/>
  <c r="L20"/>
  <c r="O20" s="1"/>
  <c r="H23"/>
  <c r="L42"/>
  <c r="H30"/>
  <c r="E28"/>
  <c r="L10"/>
  <c r="O10" s="1"/>
  <c r="E41"/>
  <c r="L24"/>
  <c r="O24" s="1"/>
  <c r="O5"/>
  <c r="N14"/>
  <c r="F26"/>
  <c r="S33"/>
  <c r="S38" s="1"/>
  <c r="I5"/>
  <c r="H5"/>
  <c r="L13"/>
  <c r="O13" s="1"/>
  <c r="E16"/>
  <c r="N8"/>
  <c r="N10"/>
  <c r="H13"/>
  <c r="E19"/>
  <c r="I19" s="1"/>
  <c r="F21"/>
  <c r="E23"/>
  <c r="H26"/>
  <c r="H29"/>
  <c r="L44"/>
  <c r="L23"/>
  <c r="O23" s="1"/>
  <c r="I25"/>
  <c r="L8"/>
  <c r="O8" s="1"/>
  <c r="L15"/>
  <c r="O15" s="1"/>
  <c r="S17"/>
  <c r="N24"/>
  <c r="H31"/>
  <c r="L35"/>
  <c r="O35" s="1"/>
  <c r="O36" s="1"/>
  <c r="H24"/>
  <c r="R51"/>
  <c r="E47"/>
  <c r="H22"/>
  <c r="L9"/>
  <c r="O9" s="1"/>
  <c r="L11"/>
  <c r="O11" s="1"/>
  <c r="L16"/>
  <c r="O16" s="1"/>
  <c r="K17"/>
  <c r="K38" s="1"/>
  <c r="N12"/>
  <c r="L12"/>
  <c r="O12" s="1"/>
  <c r="L46"/>
  <c r="D17"/>
  <c r="H7"/>
  <c r="E7"/>
  <c r="E42"/>
  <c r="E44"/>
  <c r="H9"/>
  <c r="E9"/>
  <c r="I9" s="1"/>
  <c r="H20"/>
  <c r="H33" s="1"/>
  <c r="E20"/>
  <c r="O19"/>
  <c r="O7"/>
  <c r="O17" s="1"/>
  <c r="D35"/>
  <c r="H27"/>
  <c r="E27"/>
  <c r="N17"/>
  <c r="E43"/>
  <c r="H8"/>
  <c r="E8"/>
  <c r="H10"/>
  <c r="E10"/>
  <c r="I10" s="1"/>
  <c r="E46"/>
  <c r="H12"/>
  <c r="F12"/>
  <c r="E12"/>
  <c r="E51"/>
  <c r="E54" s="1"/>
  <c r="E55" s="1"/>
  <c r="L36"/>
  <c r="I21"/>
  <c r="E45"/>
  <c r="H11"/>
  <c r="E11"/>
  <c r="I11" s="1"/>
  <c r="L47"/>
  <c r="E50"/>
  <c r="L49"/>
  <c r="L51" s="1"/>
  <c r="F23"/>
  <c r="L26"/>
  <c r="O26" s="1"/>
  <c r="L28"/>
  <c r="O28" s="1"/>
  <c r="L29"/>
  <c r="O29" s="1"/>
  <c r="L30"/>
  <c r="O30" s="1"/>
  <c r="L21"/>
  <c r="O21" s="1"/>
  <c r="E24"/>
  <c r="N26"/>
  <c r="L27"/>
  <c r="O27" s="1"/>
  <c r="N28"/>
  <c r="N29"/>
  <c r="N30"/>
  <c r="L31"/>
  <c r="O31" s="1"/>
  <c r="D33"/>
  <c r="E13"/>
  <c r="I13" s="1"/>
  <c r="E14"/>
  <c r="I14" s="1"/>
  <c r="E15"/>
  <c r="I15" s="1"/>
  <c r="N21"/>
  <c r="L22"/>
  <c r="O22" s="1"/>
  <c r="F24"/>
  <c r="N31"/>
  <c r="K36"/>
  <c r="L50"/>
  <c r="H14"/>
  <c r="H15"/>
  <c r="H16"/>
  <c r="E26"/>
  <c r="L48"/>
  <c r="H21"/>
  <c r="I20" l="1"/>
  <c r="I24"/>
  <c r="I23"/>
  <c r="I12"/>
  <c r="I16"/>
  <c r="I29"/>
  <c r="I8"/>
  <c r="I26"/>
  <c r="F33"/>
  <c r="D38"/>
  <c r="N33"/>
  <c r="N38" s="1"/>
  <c r="I28"/>
  <c r="I30"/>
  <c r="I22"/>
  <c r="I33" s="1"/>
  <c r="O33"/>
  <c r="E33"/>
  <c r="I27"/>
  <c r="E17"/>
  <c r="I7"/>
  <c r="I17" s="1"/>
  <c r="D36"/>
  <c r="H35"/>
  <c r="H36" s="1"/>
  <c r="E35"/>
  <c r="H17"/>
  <c r="H38" s="1"/>
  <c r="F17"/>
  <c r="F38"/>
  <c r="L33"/>
  <c r="L38" s="1"/>
  <c r="O38" s="1"/>
  <c r="I31"/>
  <c r="E36" l="1"/>
  <c r="I35"/>
  <c r="I36" s="1"/>
  <c r="E38"/>
  <c r="I38" s="1"/>
  <c r="P33"/>
</calcChain>
</file>

<file path=xl/comments1.xml><?xml version="1.0" encoding="utf-8"?>
<comments xmlns="http://schemas.openxmlformats.org/spreadsheetml/2006/main">
  <authors>
    <author>Author</author>
  </authors>
  <commentList>
    <comment ref="E6" authorId="0">
      <text>
        <r>
          <rPr>
            <b/>
            <sz val="8"/>
            <color rgb="FF000000"/>
            <rFont val="Tahoma"/>
            <family val="2"/>
          </rPr>
          <t>Author:</t>
        </r>
        <r>
          <rPr>
            <sz val="8"/>
            <color rgb="FF000000"/>
            <rFont val="Tahoma"/>
            <family val="2"/>
          </rPr>
          <t xml:space="preserve">
See Laobr Calc worksheet in this file for estimated labor based on FY06 actual, as adjusted.  Note: per David Buening, he estimated direct labor for FY07 to be $139 million.
MB 7/24/06
</t>
        </r>
      </text>
    </comment>
    <comment ref="R6" authorId="0">
      <text>
        <r>
          <rPr>
            <b/>
            <sz val="8"/>
            <color rgb="FF000000"/>
            <rFont val="Tahoma"/>
            <family val="2"/>
          </rPr>
          <t>Author:</t>
        </r>
        <r>
          <rPr>
            <sz val="8"/>
            <color rgb="FF000000"/>
            <rFont val="Tahoma"/>
            <family val="2"/>
          </rPr>
          <t xml:space="preserve">
See Laobr Calc worksheet in this file for estimated labor based on FY06 actual, as adjusted.  Note: per David Buening, he estimated direct labor for FY07 to be $139 million.
MB 7/24/06
</t>
        </r>
      </text>
    </comment>
    <comment ref="D7" authorId="0">
      <text>
        <r>
          <rPr>
            <b/>
            <sz val="9"/>
            <color rgb="FF000000"/>
            <rFont val="Tahoma"/>
            <family val="2"/>
          </rPr>
          <t xml:space="preserve">u08048:
</t>
        </r>
        <r>
          <rPr>
            <sz val="9"/>
            <color rgb="FF000000"/>
            <rFont val="Tahoma"/>
            <family val="2"/>
          </rPr>
          <t xml:space="preserve">See calculation on Source Detail worksheet.
BH 7/30/10
</t>
        </r>
        <r>
          <rPr>
            <b/>
            <sz val="9"/>
            <color rgb="FF000000"/>
            <rFont val="Tahoma"/>
            <family val="2"/>
          </rPr>
          <t>u08041:</t>
        </r>
        <r>
          <rPr>
            <sz val="9"/>
            <color rgb="FF000000"/>
            <rFont val="Tahoma"/>
            <family val="2"/>
          </rPr>
          <t xml:space="preserve">
FY calc = FY09 actual - Cargill payout + est. FY10 Cargill pmt * 1.015 (merit increase). Cargill payouts were supplied by D. Pitman.
AM 8/3/09
</t>
        </r>
      </text>
    </comment>
    <comment ref="Q7" authorId="0">
      <text>
        <r>
          <rPr>
            <b/>
            <sz val="9"/>
            <color rgb="FF000000"/>
            <rFont val="Tahoma"/>
            <family val="2"/>
          </rPr>
          <t xml:space="preserve">u08048:
</t>
        </r>
        <r>
          <rPr>
            <sz val="9"/>
            <color rgb="FF000000"/>
            <rFont val="Tahoma"/>
            <family val="2"/>
          </rPr>
          <t xml:space="preserve">See calculation on Source Detail worksheet.
BH 7/30/10
</t>
        </r>
        <r>
          <rPr>
            <b/>
            <sz val="9"/>
            <color rgb="FF000000"/>
            <rFont val="Tahoma"/>
            <family val="2"/>
          </rPr>
          <t>u08041:</t>
        </r>
        <r>
          <rPr>
            <sz val="9"/>
            <color rgb="FF000000"/>
            <rFont val="Tahoma"/>
            <family val="2"/>
          </rPr>
          <t xml:space="preserve">
FY calc = FY09 actual - Cargill payout + est. FY10 Cargill pmt * 1.015 (merit increase). Cargill payouts were supplied by D. Pitman.
AM 8/3/09
</t>
        </r>
      </text>
    </comment>
    <comment ref="B8" authorId="0">
      <text>
        <r>
          <rPr>
            <b/>
            <sz val="8"/>
            <color rgb="FF000000"/>
            <rFont val="Tahoma"/>
            <family val="2"/>
          </rPr>
          <t>Author:</t>
        </r>
        <r>
          <rPr>
            <sz val="8"/>
            <color rgb="FF000000"/>
            <rFont val="Tahoma"/>
            <family val="2"/>
          </rPr>
          <t xml:space="preserve">
Inlcudes sub-account 1345033</t>
        </r>
      </text>
    </comment>
    <comment ref="D8" authorId="0">
      <text>
        <r>
          <rPr>
            <b/>
            <sz val="9"/>
            <color rgb="FF000000"/>
            <rFont val="Tahoma"/>
            <family val="2"/>
          </rPr>
          <t xml:space="preserve">u08048:
</t>
        </r>
        <r>
          <rPr>
            <sz val="9"/>
            <color rgb="FF000000"/>
            <rFont val="Tahoma"/>
            <family val="2"/>
          </rPr>
          <t xml:space="preserve">See calculation on Source Detail worksheet. Added $125,000 per MB so decrease is not too much as compared to PY.
BH 7/30/10
</t>
        </r>
        <r>
          <rPr>
            <b/>
            <sz val="9"/>
            <color rgb="FF000000"/>
            <rFont val="Tahoma"/>
            <family val="2"/>
          </rPr>
          <t>u08041:</t>
        </r>
        <r>
          <rPr>
            <sz val="9"/>
            <color rgb="FF000000"/>
            <rFont val="Tahoma"/>
            <family val="2"/>
          </rPr>
          <t xml:space="preserve">
FY calc = FY09 actual - Cargill payout + est. FY10 Cargill pmt * 1.015 (merit increase). Cargill payouts were supplied by D. Pitman.
AM 8/3/09</t>
        </r>
      </text>
    </comment>
    <comment ref="Q8" authorId="0">
      <text>
        <r>
          <rPr>
            <b/>
            <sz val="9"/>
            <color rgb="FF000000"/>
            <rFont val="Tahoma"/>
            <family val="2"/>
          </rPr>
          <t xml:space="preserve">u08048:
</t>
        </r>
        <r>
          <rPr>
            <sz val="9"/>
            <color rgb="FF000000"/>
            <rFont val="Tahoma"/>
            <family val="2"/>
          </rPr>
          <t xml:space="preserve">See calculation on Source Detail worksheet. Added $125,000 per MB so decrease is not too much as compared to PY.
BH 7/30/10
</t>
        </r>
        <r>
          <rPr>
            <b/>
            <sz val="9"/>
            <color rgb="FF000000"/>
            <rFont val="Tahoma"/>
            <family val="2"/>
          </rPr>
          <t>u08041:</t>
        </r>
        <r>
          <rPr>
            <sz val="9"/>
            <color rgb="FF000000"/>
            <rFont val="Tahoma"/>
            <family val="2"/>
          </rPr>
          <t xml:space="preserve">
FY calc = FY09 actual - Cargill payout + est. FY10 Cargill pmt * 1.015 (merit increase). Cargill payouts were supplied by D. Pitman.
AM 8/3/09</t>
        </r>
      </text>
    </comment>
    <comment ref="B11" authorId="0">
      <text>
        <r>
          <rPr>
            <b/>
            <sz val="8"/>
            <color rgb="FF000000"/>
            <rFont val="Tahoma"/>
            <family val="2"/>
          </rPr>
          <t>Author:</t>
        </r>
        <r>
          <rPr>
            <sz val="8"/>
            <color rgb="FF000000"/>
            <rFont val="Tahoma"/>
            <family val="2"/>
          </rPr>
          <t xml:space="preserve">
Includes sub-accounts 1345018 &amp; 1345021</t>
        </r>
      </text>
    </comment>
    <comment ref="D11" authorId="0">
      <text>
        <r>
          <rPr>
            <b/>
            <sz val="8"/>
            <color rgb="FF000000"/>
            <rFont val="Tahoma"/>
            <family val="2"/>
          </rPr>
          <t xml:space="preserve">u08048
</t>
        </r>
        <r>
          <rPr>
            <sz val="8"/>
            <color rgb="FF000000"/>
            <rFont val="Tahoma"/>
            <family val="2"/>
          </rPr>
          <t>used calcualted head count of 1819.3 (based on 23-JUN-12 PPE and discussed with Jose Sanchez) * average rate for same PPE ($49.61) * .015 merit increase *24 hours.  Same concept for temps only used regular labor temp rate of $30.82.
BR 7/27/12
Same procedure for FY14 except merit increase is 4.5% + COLA of 0.25% BR 8/5/13</t>
        </r>
        <r>
          <rPr>
            <b/>
            <sz val="8"/>
            <color rgb="FF000000"/>
            <rFont val="Tahoma"/>
            <family val="2"/>
          </rPr>
          <t xml:space="preserve">
u07412
</t>
        </r>
        <r>
          <rPr>
            <sz val="8"/>
            <color rgb="FF000000"/>
            <rFont val="Tahoma"/>
            <family val="2"/>
          </rPr>
          <t xml:space="preserve">used calcualted head count of 1,786.9 (based on 25-JUN-11 PPE and discussed with Jose Sanchez) * average rate for same PPE ($47.16) * .015 merit increase *24 hours.  Same concept for temps only used regular labor temp rate of $27.36.
MB 7/27/11
</t>
        </r>
        <r>
          <rPr>
            <b/>
            <sz val="8"/>
            <color rgb="FF000000"/>
            <rFont val="Tahoma"/>
            <family val="2"/>
          </rPr>
          <t xml:space="preserve">
u08048:
</t>
        </r>
        <r>
          <rPr>
            <sz val="8"/>
            <color rgb="FF000000"/>
            <rFont val="Tahoma"/>
            <family val="2"/>
          </rPr>
          <t xml:space="preserve">Used FY2011 Budget headcount of 1840 FTE * average rate for 6/28/10 PPE *1.5% merit increase*26 PPE for FY2011.
BH 7/30/10
</t>
        </r>
        <r>
          <rPr>
            <b/>
            <sz val="8"/>
            <color rgb="FF000000"/>
            <rFont val="Tahoma"/>
            <family val="2"/>
          </rPr>
          <t xml:space="preserve">
u07412:</t>
        </r>
        <r>
          <rPr>
            <sz val="8"/>
            <color rgb="FF000000"/>
            <rFont val="Tahoma"/>
            <family val="2"/>
          </rPr>
          <t xml:space="preserve">
There were 1,752 employees who used personal time in FY07 at an average rate of $42.88 and 24.12 hours (this data was obtained from LHA by running a report on the FY for 1345027 and counting the number of employees and dividing the total dollars by the total hours.  The average rate was increased by 027% the FY08 COLA.
MB 8/3/07</t>
        </r>
      </text>
    </comment>
    <comment ref="Q11" authorId="0">
      <text>
        <r>
          <rPr>
            <b/>
            <sz val="8"/>
            <color rgb="FF000000"/>
            <rFont val="Tahoma"/>
            <family val="2"/>
          </rPr>
          <t xml:space="preserve">u07412
</t>
        </r>
        <r>
          <rPr>
            <sz val="8"/>
            <color rgb="FF000000"/>
            <rFont val="Tahoma"/>
            <family val="2"/>
          </rPr>
          <t xml:space="preserve">used calcualted head count of 1,786.9 (based on 25-JUN-11 PPE and discussed with Jose Sanchez) * average rate for same PPE ($47.16) * .015 merit increase *24 hours.  Same concept for temps only used regular labor temp rate of $27.36.
MB 7/27/11
</t>
        </r>
        <r>
          <rPr>
            <b/>
            <sz val="8"/>
            <color rgb="FF000000"/>
            <rFont val="Tahoma"/>
            <family val="2"/>
          </rPr>
          <t xml:space="preserve">
u08048:
</t>
        </r>
        <r>
          <rPr>
            <sz val="8"/>
            <color rgb="FF000000"/>
            <rFont val="Tahoma"/>
            <family val="2"/>
          </rPr>
          <t xml:space="preserve">Used FY2011 Budget headcount of 1840 FTE * average rate for 6/28/10 PPE *1.5% merit increase*26 PPE for FY2011.
BH 7/30/10
</t>
        </r>
        <r>
          <rPr>
            <b/>
            <sz val="8"/>
            <color rgb="FF000000"/>
            <rFont val="Tahoma"/>
            <family val="2"/>
          </rPr>
          <t xml:space="preserve">
u07412:</t>
        </r>
        <r>
          <rPr>
            <sz val="8"/>
            <color rgb="FF000000"/>
            <rFont val="Tahoma"/>
            <family val="2"/>
          </rPr>
          <t xml:space="preserve">
There were 1,752 employees who used personal time in FY07 at an average rate of $42.88 and 24.12 hours (this data was obtained from LHA by running a report on the FY for 1345027 and counting the number of employees and dividing the total dollars by the total hours.  The average rate was increased by 027% the FY08 COLA.
MB 8/3/07</t>
        </r>
      </text>
    </comment>
    <comment ref="C12" authorId="0">
      <text>
        <r>
          <rPr>
            <b/>
            <sz val="8"/>
            <color rgb="FF000000"/>
            <rFont val="Tahoma"/>
            <family val="2"/>
          </rPr>
          <t>Author:</t>
        </r>
        <r>
          <rPr>
            <sz val="8"/>
            <color rgb="FF000000"/>
            <rFont val="Tahoma"/>
            <family val="2"/>
          </rPr>
          <t xml:space="preserve">
Temps used to get Personal leave (48 hours) until they were given Holiday.</t>
        </r>
      </text>
    </comment>
    <comment ref="D12" authorId="0">
      <text>
        <r>
          <rPr>
            <b/>
            <sz val="8"/>
            <color rgb="FF000000"/>
            <rFont val="Tahoma"/>
            <family val="2"/>
          </rPr>
          <t xml:space="preserve">u08048
</t>
        </r>
        <r>
          <rPr>
            <sz val="8"/>
            <color rgb="FF000000"/>
            <rFont val="Tahoma"/>
            <family val="2"/>
          </rPr>
          <t xml:space="preserve">used most recent holiday - 7/7/12 $736,542.93 * 14 holidays * 1.015 for merit increase.
BR 7/30/12  Same calc for FY14 using FY13 most recent holiday and merit increase is 4.5% + COLA of 0.25% BR 8/5/13
</t>
        </r>
        <r>
          <rPr>
            <b/>
            <sz val="8"/>
            <color rgb="FF000000"/>
            <rFont val="Tahoma"/>
            <family val="2"/>
          </rPr>
          <t xml:space="preserve">
u07412
</t>
        </r>
        <r>
          <rPr>
            <sz val="8"/>
            <color rgb="FF000000"/>
            <rFont val="Tahoma"/>
            <family val="2"/>
          </rPr>
          <t>used most recent holiday - 7/4/11 $752,803.19 * 14 holidays * 1.015 for merit increase.
MB 7/27/11</t>
        </r>
        <r>
          <rPr>
            <b/>
            <sz val="8"/>
            <color rgb="FF000000"/>
            <rFont val="Tahoma"/>
            <family val="2"/>
          </rPr>
          <t xml:space="preserve">
u08048:</t>
        </r>
        <r>
          <rPr>
            <sz val="8"/>
            <color rgb="FF000000"/>
            <rFont val="Tahoma"/>
            <family val="2"/>
          </rPr>
          <t xml:space="preserve">
Using Details information - took last holiday pay from PPE 6/12/10 of $774,636.78 * 1.5% merit rate * 14 holidays.
BH 7/30/10</t>
        </r>
      </text>
    </comment>
    <comment ref="Q12" authorId="0">
      <text>
        <r>
          <rPr>
            <b/>
            <sz val="8"/>
            <color rgb="FF000000"/>
            <rFont val="Tahoma"/>
            <family val="2"/>
          </rPr>
          <t xml:space="preserve">u07412
</t>
        </r>
        <r>
          <rPr>
            <sz val="8"/>
            <color rgb="FF000000"/>
            <rFont val="Tahoma"/>
            <family val="2"/>
          </rPr>
          <t>used most recent holiday - 7/4/11 $752,803.19 * 14 holidays * 1.015 for merit increase.
MB 7/27/11</t>
        </r>
        <r>
          <rPr>
            <b/>
            <sz val="8"/>
            <color rgb="FF000000"/>
            <rFont val="Tahoma"/>
            <family val="2"/>
          </rPr>
          <t xml:space="preserve">
u08048:</t>
        </r>
        <r>
          <rPr>
            <sz val="8"/>
            <color rgb="FF000000"/>
            <rFont val="Tahoma"/>
            <family val="2"/>
          </rPr>
          <t xml:space="preserve">
Using Details information - took last holiday pay from PPE 6/12/10 of $774,636.78 * 1.5% merit rate * 14 holidays.
BH 7/30/10</t>
        </r>
      </text>
    </comment>
    <comment ref="D13" authorId="0">
      <text>
        <r>
          <rPr>
            <b/>
            <sz val="8"/>
            <color rgb="FF000000"/>
            <rFont val="Tahoma"/>
            <family val="2"/>
          </rPr>
          <t xml:space="preserve">u08048:
</t>
        </r>
        <r>
          <rPr>
            <sz val="8"/>
            <color rgb="FF000000"/>
            <rFont val="Tahoma"/>
            <family val="2"/>
          </rPr>
          <t xml:space="preserve">Use PY actual, See 13450 AA Sort
BR 7/27/12, 8/5/13
</t>
        </r>
        <r>
          <rPr>
            <b/>
            <sz val="8"/>
            <color rgb="FF000000"/>
            <rFont val="Tahoma"/>
            <family val="2"/>
          </rPr>
          <t xml:space="preserve">u07412
</t>
        </r>
        <r>
          <rPr>
            <sz val="8"/>
            <color rgb="FF000000"/>
            <rFont val="Tahoma"/>
            <family val="2"/>
          </rPr>
          <t>net change for FY11 was a reduction to additive of approx. $24k.  Use $0 for FY12.
MB 7/28/11</t>
        </r>
        <r>
          <rPr>
            <b/>
            <sz val="8"/>
            <color rgb="FF000000"/>
            <rFont val="Tahoma"/>
            <family val="2"/>
          </rPr>
          <t xml:space="preserve">
u08048:
</t>
        </r>
        <r>
          <rPr>
            <sz val="8"/>
            <color rgb="FF000000"/>
            <rFont val="Tahoma"/>
            <family val="2"/>
          </rPr>
          <t xml:space="preserve">Same as last FY.
BH 7/30/10
</t>
        </r>
        <r>
          <rPr>
            <b/>
            <sz val="8"/>
            <color rgb="FF000000"/>
            <rFont val="Tahoma"/>
            <family val="2"/>
          </rPr>
          <t xml:space="preserve">u08041:
</t>
        </r>
        <r>
          <rPr>
            <sz val="8"/>
            <color rgb="FF000000"/>
            <rFont val="Tahoma"/>
            <family val="2"/>
          </rPr>
          <t>Same as last FY.
AM 8/3/09</t>
        </r>
        <r>
          <rPr>
            <b/>
            <sz val="8"/>
            <color rgb="FF000000"/>
            <rFont val="Tahoma"/>
            <family val="2"/>
          </rPr>
          <t xml:space="preserve">
u07412:</t>
        </r>
        <r>
          <rPr>
            <sz val="8"/>
            <color rgb="FF000000"/>
            <rFont val="Tahoma"/>
            <family val="2"/>
          </rPr>
          <t xml:space="preserve">
Use half of FY07 estimate of $30k.
MB 8/6/07
FY06 actual x  4.8% cola.
MB 7/26/06</t>
        </r>
      </text>
    </comment>
    <comment ref="Q13" authorId="0">
      <text>
        <r>
          <rPr>
            <b/>
            <sz val="8"/>
            <color rgb="FF000000"/>
            <rFont val="Tahoma"/>
            <family val="2"/>
          </rPr>
          <t xml:space="preserve">u07412
</t>
        </r>
        <r>
          <rPr>
            <sz val="8"/>
            <color rgb="FF000000"/>
            <rFont val="Tahoma"/>
            <family val="2"/>
          </rPr>
          <t>net change for FY11 was a reduction to additive of approx. $24k.  Use $0 for FY12.
MB 7/28/11</t>
        </r>
        <r>
          <rPr>
            <b/>
            <sz val="8"/>
            <color rgb="FF000000"/>
            <rFont val="Tahoma"/>
            <family val="2"/>
          </rPr>
          <t xml:space="preserve">
u08048:
</t>
        </r>
        <r>
          <rPr>
            <sz val="8"/>
            <color rgb="FF000000"/>
            <rFont val="Tahoma"/>
            <family val="2"/>
          </rPr>
          <t xml:space="preserve">Same as last FY.
BH 7/30/10
</t>
        </r>
        <r>
          <rPr>
            <b/>
            <sz val="8"/>
            <color rgb="FF000000"/>
            <rFont val="Tahoma"/>
            <family val="2"/>
          </rPr>
          <t xml:space="preserve">u08041:
</t>
        </r>
        <r>
          <rPr>
            <sz val="8"/>
            <color rgb="FF000000"/>
            <rFont val="Tahoma"/>
            <family val="2"/>
          </rPr>
          <t>Same as last FY.
AM 8/3/09</t>
        </r>
        <r>
          <rPr>
            <b/>
            <sz val="8"/>
            <color rgb="FF000000"/>
            <rFont val="Tahoma"/>
            <family val="2"/>
          </rPr>
          <t xml:space="preserve">
u07412:</t>
        </r>
        <r>
          <rPr>
            <sz val="8"/>
            <color rgb="FF000000"/>
            <rFont val="Tahoma"/>
            <family val="2"/>
          </rPr>
          <t xml:space="preserve">
Use half of FY07 estimate of $30k.
MB 8/6/07
FY06 actual x  4.8% cola.
MB 7/26/06</t>
        </r>
      </text>
    </comment>
    <comment ref="D14" authorId="0">
      <text>
        <r>
          <rPr>
            <b/>
            <sz val="8"/>
            <color rgb="FF000000"/>
            <rFont val="Tahoma"/>
            <family val="2"/>
          </rPr>
          <t xml:space="preserve">u08048:
</t>
        </r>
        <r>
          <rPr>
            <sz val="8"/>
            <color rgb="FF000000"/>
            <rFont val="Tahoma"/>
            <family val="2"/>
          </rPr>
          <t xml:space="preserve">Used 3 yr avg, see source detail worksheet.
BH 7/30/10, 8/5/13
</t>
        </r>
        <r>
          <rPr>
            <b/>
            <sz val="8"/>
            <color rgb="FF000000"/>
            <rFont val="Tahoma"/>
            <family val="2"/>
          </rPr>
          <t xml:space="preserve">
u07412:</t>
        </r>
        <r>
          <rPr>
            <sz val="8"/>
            <color rgb="FF000000"/>
            <rFont val="Tahoma"/>
            <family val="2"/>
          </rPr>
          <t xml:space="preserve">
Use  3 year averge of change =4%+2.7% COLA x FY07 expense of $338,887.
MB 8/6/07</t>
        </r>
      </text>
    </comment>
    <comment ref="Q14" authorId="0">
      <text>
        <r>
          <rPr>
            <b/>
            <sz val="8"/>
            <color rgb="FF000000"/>
            <rFont val="Tahoma"/>
            <family val="2"/>
          </rPr>
          <t xml:space="preserve">u08048:
</t>
        </r>
        <r>
          <rPr>
            <sz val="8"/>
            <color rgb="FF000000"/>
            <rFont val="Tahoma"/>
            <family val="2"/>
          </rPr>
          <t>Used 3 yr avg, see source detail worksheet.
BH 7/30/10</t>
        </r>
        <r>
          <rPr>
            <b/>
            <sz val="8"/>
            <color rgb="FF000000"/>
            <rFont val="Tahoma"/>
            <family val="2"/>
          </rPr>
          <t xml:space="preserve">
u07412:</t>
        </r>
        <r>
          <rPr>
            <sz val="8"/>
            <color rgb="FF000000"/>
            <rFont val="Tahoma"/>
            <family val="2"/>
          </rPr>
          <t xml:space="preserve">
Use  3 year averge of change =4%+2.7% COLA x FY07 expense of $338,887.
MB 8/6/07</t>
        </r>
      </text>
    </comment>
    <comment ref="D15" authorId="0">
      <text>
        <r>
          <rPr>
            <b/>
            <sz val="8"/>
            <color rgb="FF000000"/>
            <rFont val="Tahoma"/>
            <family val="2"/>
          </rPr>
          <t xml:space="preserve">u08048:
</t>
        </r>
        <r>
          <rPr>
            <sz val="8"/>
            <color rgb="FF000000"/>
            <rFont val="Tahoma"/>
            <family val="2"/>
          </rPr>
          <t xml:space="preserve">Used 3 yr avg, see source detail worksheet.
BH 7/30/10, 8/5/13
</t>
        </r>
        <r>
          <rPr>
            <b/>
            <sz val="8"/>
            <color rgb="FF000000"/>
            <rFont val="Tahoma"/>
            <family val="2"/>
          </rPr>
          <t xml:space="preserve">
u07412:</t>
        </r>
        <r>
          <rPr>
            <sz val="8"/>
            <color rgb="FF000000"/>
            <rFont val="Tahoma"/>
            <family val="2"/>
          </rPr>
          <t xml:space="preserve">
3 yr average increase = 1% + 2.7% COLA x FY07 payments.
MB 8/6/07
Based on last four years FY03 - FY06, it was 200K, 300K, 200k, 300K, use $275k for FY07.
MB 7/27/06</t>
        </r>
      </text>
    </comment>
    <comment ref="Q15" authorId="0">
      <text>
        <r>
          <rPr>
            <b/>
            <sz val="8"/>
            <color rgb="FF000000"/>
            <rFont val="Tahoma"/>
            <family val="2"/>
          </rPr>
          <t xml:space="preserve">u08048:
</t>
        </r>
        <r>
          <rPr>
            <sz val="8"/>
            <color rgb="FF000000"/>
            <rFont val="Tahoma"/>
            <family val="2"/>
          </rPr>
          <t xml:space="preserve">Used 3 yr avg, see source detail worksheet.
BH 7/30/10
</t>
        </r>
        <r>
          <rPr>
            <b/>
            <sz val="8"/>
            <color rgb="FF000000"/>
            <rFont val="Tahoma"/>
            <family val="2"/>
          </rPr>
          <t xml:space="preserve">
u07412:</t>
        </r>
        <r>
          <rPr>
            <sz val="8"/>
            <color rgb="FF000000"/>
            <rFont val="Tahoma"/>
            <family val="2"/>
          </rPr>
          <t xml:space="preserve">
3 yr average increase = 1% + 2.7% COLA x FY07 payments.
MB 8/6/07
Based on last four years FY03 - FY06, it was 200K, 300K, 200k, 300K, use $275k for FY07.
MB 7/27/06</t>
        </r>
      </text>
    </comment>
    <comment ref="D16" authorId="0">
      <text>
        <r>
          <rPr>
            <b/>
            <sz val="8"/>
            <color rgb="FF000000"/>
            <rFont val="Tahoma"/>
            <family val="2"/>
          </rPr>
          <t xml:space="preserve">u08048:
</t>
        </r>
        <r>
          <rPr>
            <sz val="8"/>
            <color rgb="FF000000"/>
            <rFont val="Tahoma"/>
            <family val="2"/>
          </rPr>
          <t>Use FY 13 actual</t>
        </r>
        <r>
          <rPr>
            <b/>
            <sz val="8"/>
            <color rgb="FF000000"/>
            <rFont val="Tahoma"/>
            <family val="2"/>
          </rPr>
          <t xml:space="preserve">
</t>
        </r>
        <r>
          <rPr>
            <sz val="8"/>
            <color rgb="FF000000"/>
            <rFont val="Tahoma"/>
            <family val="2"/>
          </rPr>
          <t>BR 8/5/13</t>
        </r>
        <r>
          <rPr>
            <b/>
            <sz val="8"/>
            <color rgb="FF000000"/>
            <rFont val="Tahoma"/>
            <family val="2"/>
          </rPr>
          <t xml:space="preserve">
u08048:
</t>
        </r>
        <r>
          <rPr>
            <sz val="8"/>
            <color rgb="FF000000"/>
            <rFont val="Tahoma"/>
            <family val="2"/>
          </rPr>
          <t xml:space="preserve">Use FY 12 actual
BR 7/27/12
</t>
        </r>
        <r>
          <rPr>
            <b/>
            <sz val="8"/>
            <color rgb="FF000000"/>
            <rFont val="Tahoma"/>
            <family val="2"/>
          </rPr>
          <t xml:space="preserve">u07412:
</t>
        </r>
        <r>
          <rPr>
            <sz val="8"/>
            <color rgb="FF000000"/>
            <rFont val="Tahoma"/>
            <family val="2"/>
          </rPr>
          <t>Data obtained from M. Falcon in Payroll. There are three employees that will take ML in FY 2012.  Maximum hours is 176/ee rates are as follows: $39.81, $51.02 &amp; $26.38.  Applied rates to 176 max hrs.  Total is $20,628.96 or $20,629. Actual usage FY11 $14,149.08 - Use $15k FY12
MB 7/27/11</t>
        </r>
        <r>
          <rPr>
            <b/>
            <sz val="8"/>
            <color rgb="FF000000"/>
            <rFont val="Tahoma"/>
            <family val="2"/>
          </rPr>
          <t xml:space="preserve">
u08048:
</t>
        </r>
        <r>
          <rPr>
            <sz val="8"/>
            <color rgb="FF000000"/>
            <rFont val="Tahoma"/>
            <family val="2"/>
          </rPr>
          <t>Data obtained from M. Falcon in Payroll. There are three employees that will take ML in FY 2011.  Maximum hours is 176/ee rates are as follows: $39.81, $51.02 &amp; $26.38.  Applied rates to 176 max hrs.  Total is $20,628.96 or $20,629
BH 7/30/10</t>
        </r>
        <r>
          <rPr>
            <b/>
            <sz val="8"/>
            <color rgb="FF000000"/>
            <rFont val="Tahoma"/>
            <family val="2"/>
          </rPr>
          <t xml:space="preserve">
u08041:
</t>
        </r>
        <r>
          <rPr>
            <sz val="8"/>
            <color rgb="FF000000"/>
            <rFont val="Tahoma"/>
            <family val="2"/>
          </rPr>
          <t>Figure obtained from P/R based on est. time of 240 hrs.</t>
        </r>
        <r>
          <rPr>
            <b/>
            <sz val="8"/>
            <color rgb="FF000000"/>
            <rFont val="Tahoma"/>
            <family val="2"/>
          </rPr>
          <t xml:space="preserve">
</t>
        </r>
        <r>
          <rPr>
            <sz val="8"/>
            <color rgb="FF000000"/>
            <rFont val="Tahoma"/>
            <family val="2"/>
          </rPr>
          <t>AM 7/29/09</t>
        </r>
        <r>
          <rPr>
            <b/>
            <sz val="8"/>
            <color rgb="FF000000"/>
            <rFont val="Tahoma"/>
            <family val="2"/>
          </rPr>
          <t xml:space="preserve">
u07412:</t>
        </r>
        <r>
          <rPr>
            <sz val="8"/>
            <color rgb="FF000000"/>
            <rFont val="Tahoma"/>
            <family val="2"/>
          </rPr>
          <t xml:space="preserve">
Based on last 2 PPE's June 2007, military amount per month = $405.40 - annualized is FY08 estimated amount.
MB 8/6/07</t>
        </r>
      </text>
    </comment>
    <comment ref="Q16" authorId="0">
      <text>
        <r>
          <rPr>
            <b/>
            <sz val="8"/>
            <color rgb="FF000000"/>
            <rFont val="Tahoma"/>
            <family val="2"/>
          </rPr>
          <t>Author:</t>
        </r>
        <r>
          <rPr>
            <sz val="8"/>
            <color rgb="FF000000"/>
            <rFont val="Tahoma"/>
            <family val="2"/>
          </rPr>
          <t xml:space="preserve">
Data obtained from M. Falcon in Payroll. There are three employees that will take ML in FY 2012.  Maximum hours is 176/ee rates are as follows: $39.81, $51.02 &amp; $26.38.  Applied rates to 176 max hrs.  Total is $20,628.96 or $20,629. Actual usage FY11 $14,149.08 - Use $15k FY12
MB 7/27/11</t>
        </r>
        <r>
          <rPr>
            <b/>
            <sz val="8"/>
            <color rgb="FF000000"/>
            <rFont val="Tahoma"/>
            <family val="2"/>
          </rPr>
          <t xml:space="preserve">
u08048:
</t>
        </r>
        <r>
          <rPr>
            <sz val="8"/>
            <color rgb="FF000000"/>
            <rFont val="Tahoma"/>
            <family val="2"/>
          </rPr>
          <t>Data obtained from M. Falcon in Payroll. There are three employees that will take ML in FY 2011.  Maximum hours is 176/ee rates are as follows: $39.81, $51.02 &amp; $26.38.  Applied rates to 176 max hrs.  Total is $20,628.96 or $20,629
BH 7/30/10</t>
        </r>
        <r>
          <rPr>
            <b/>
            <sz val="8"/>
            <color rgb="FF000000"/>
            <rFont val="Tahoma"/>
            <family val="2"/>
          </rPr>
          <t xml:space="preserve">
u08041:
</t>
        </r>
        <r>
          <rPr>
            <sz val="8"/>
            <color rgb="FF000000"/>
            <rFont val="Tahoma"/>
            <family val="2"/>
          </rPr>
          <t>Figure obtained from P/R based on est. time of 240 hrs.</t>
        </r>
        <r>
          <rPr>
            <b/>
            <sz val="8"/>
            <color rgb="FF000000"/>
            <rFont val="Tahoma"/>
            <family val="2"/>
          </rPr>
          <t xml:space="preserve">
</t>
        </r>
        <r>
          <rPr>
            <sz val="8"/>
            <color rgb="FF000000"/>
            <rFont val="Tahoma"/>
            <family val="2"/>
          </rPr>
          <t>AM 7/29/09</t>
        </r>
        <r>
          <rPr>
            <b/>
            <sz val="8"/>
            <color rgb="FF000000"/>
            <rFont val="Tahoma"/>
            <family val="2"/>
          </rPr>
          <t xml:space="preserve">
u07412:</t>
        </r>
        <r>
          <rPr>
            <sz val="8"/>
            <color rgb="FF000000"/>
            <rFont val="Tahoma"/>
            <family val="2"/>
          </rPr>
          <t xml:space="preserve">
Based on last 2 PPE's June 2007, military amount per month = $405.40 - annualized is FY08 estimated amount.
MB 8/6/07</t>
        </r>
      </text>
    </comment>
    <comment ref="D19" authorId="0">
      <text>
        <r>
          <rPr>
            <b/>
            <sz val="9"/>
            <color rgb="FF000000"/>
            <rFont val="Tahoma"/>
            <family val="2"/>
          </rPr>
          <t>Author:</t>
        </r>
        <r>
          <rPr>
            <sz val="9"/>
            <color rgb="FF000000"/>
            <rFont val="Tahoma"/>
            <family val="2"/>
          </rPr>
          <t xml:space="preserve">
See source detail worksheet.
BH 7/30/10</t>
        </r>
      </text>
    </comment>
    <comment ref="Q19" authorId="0">
      <text>
        <r>
          <rPr>
            <b/>
            <sz val="9"/>
            <color rgb="FF000000"/>
            <rFont val="Tahoma"/>
            <family val="2"/>
          </rPr>
          <t>Author:</t>
        </r>
        <r>
          <rPr>
            <sz val="9"/>
            <color rgb="FF000000"/>
            <rFont val="Tahoma"/>
            <family val="2"/>
          </rPr>
          <t xml:space="preserve">
See source detail worksheet.
BH 7/30/10</t>
        </r>
      </text>
    </comment>
    <comment ref="D20" authorId="0">
      <text>
        <r>
          <rPr>
            <b/>
            <sz val="9"/>
            <color rgb="FF000000"/>
            <rFont val="Tahoma"/>
            <family val="2"/>
          </rPr>
          <t>Author:</t>
        </r>
        <r>
          <rPr>
            <sz val="9"/>
            <color rgb="FF000000"/>
            <rFont val="Tahoma"/>
            <family val="2"/>
          </rPr>
          <t xml:space="preserve">
see source detail worksheet.
BH 7/30/10</t>
        </r>
      </text>
    </comment>
    <comment ref="Q20" authorId="0">
      <text>
        <r>
          <rPr>
            <b/>
            <sz val="9"/>
            <color rgb="FF000000"/>
            <rFont val="Tahoma"/>
            <family val="2"/>
          </rPr>
          <t>Author:</t>
        </r>
        <r>
          <rPr>
            <sz val="9"/>
            <color rgb="FF000000"/>
            <rFont val="Tahoma"/>
            <family val="2"/>
          </rPr>
          <t xml:space="preserve">
see source detail worksheet.
BH 7/30/10</t>
        </r>
      </text>
    </comment>
    <comment ref="C21" authorId="0">
      <text>
        <r>
          <rPr>
            <b/>
            <sz val="8"/>
            <color rgb="FF000000"/>
            <rFont val="Tahoma"/>
            <family val="2"/>
          </rPr>
          <t>Author:</t>
        </r>
        <r>
          <rPr>
            <sz val="8"/>
            <color rgb="FF000000"/>
            <rFont val="Tahoma"/>
            <family val="2"/>
          </rPr>
          <t xml:space="preserve">
Per Maggie Falcon 7/26/04 there are no longer any employees for whom Social Security is being paid.
MB 7/27/04</t>
        </r>
      </text>
    </comment>
    <comment ref="D21" authorId="0">
      <text>
        <r>
          <rPr>
            <b/>
            <sz val="8"/>
            <color rgb="FF000000"/>
            <rFont val="Tahoma"/>
            <family val="2"/>
          </rPr>
          <t xml:space="preserve">u08048
</t>
        </r>
        <r>
          <rPr>
            <sz val="8"/>
            <color rgb="FF000000"/>
            <rFont val="Tahoma"/>
            <family val="2"/>
          </rPr>
          <t xml:space="preserve">used average for FY13* merit increase is 4.5% + COLA of 0.25%*26 Pay Period - to reflect expected FY14 amount.  By approximately May/June the amount reduces due to maximums being met.
8/5/13
</t>
        </r>
        <r>
          <rPr>
            <b/>
            <sz val="8"/>
            <color rgb="FF000000"/>
            <rFont val="Tahoma"/>
            <family val="2"/>
          </rPr>
          <t xml:space="preserve">
U07412:
</t>
        </r>
        <r>
          <rPr>
            <sz val="8"/>
            <color rgb="FF000000"/>
            <rFont val="Tahoma"/>
            <family val="2"/>
          </rPr>
          <t>used average for FY11*.015 merit/pay adjustments - to reflect expected FY12 amount.  By approximately May/June the amount reduces due to maximums being met.
7/27/11</t>
        </r>
        <r>
          <rPr>
            <b/>
            <sz val="8"/>
            <color rgb="FF000000"/>
            <rFont val="Tahoma"/>
            <family val="2"/>
          </rPr>
          <t xml:space="preserve">
U08048:
</t>
        </r>
        <r>
          <rPr>
            <sz val="8"/>
            <color rgb="FF000000"/>
            <rFont val="Tahoma"/>
            <family val="2"/>
          </rPr>
          <t xml:space="preserve">Used average Mar-10 Payments = $94,300 *26 PPE + $17,000 to account for difference in two higher payments of abt $113K and $112K in December 09 and Jun-10, respectively (which relates to November and May payouts.).
BH 8/2/10
</t>
        </r>
        <r>
          <rPr>
            <b/>
            <sz val="8"/>
            <color rgb="FF000000"/>
            <rFont val="Tahoma"/>
            <family val="2"/>
          </rPr>
          <t>u07412:</t>
        </r>
        <r>
          <rPr>
            <sz val="8"/>
            <color rgb="FF000000"/>
            <rFont val="Tahoma"/>
            <family val="2"/>
          </rPr>
          <t xml:space="preserve">
$85,608.55 = MWD's portion of medicare for PPE 7/28/07.
MB 8/6/07</t>
        </r>
      </text>
    </comment>
    <comment ref="Q21" authorId="0">
      <text>
        <r>
          <rPr>
            <b/>
            <sz val="8"/>
            <color rgb="FF000000"/>
            <rFont val="Tahoma"/>
            <family val="2"/>
          </rPr>
          <t xml:space="preserve">U07412:
</t>
        </r>
        <r>
          <rPr>
            <sz val="8"/>
            <color rgb="FF000000"/>
            <rFont val="Tahoma"/>
            <family val="2"/>
          </rPr>
          <t>used average for FY11*.015 merit/pay adjustments - to reflect expected FY12 amount.  By approximately May/June the amount reduces due to maximums being met.
7/27/11</t>
        </r>
        <r>
          <rPr>
            <b/>
            <sz val="8"/>
            <color rgb="FF000000"/>
            <rFont val="Tahoma"/>
            <family val="2"/>
          </rPr>
          <t xml:space="preserve">
U08048:
</t>
        </r>
        <r>
          <rPr>
            <sz val="8"/>
            <color rgb="FF000000"/>
            <rFont val="Tahoma"/>
            <family val="2"/>
          </rPr>
          <t xml:space="preserve">Used average Mar-10 Payments = $94,300 *26 PPE + $17,000 to account for difference in two higher payments of abt $113K and $112K in December 09 and Jun-10, respectively (which relates to November and May payouts.).
BH 8/2/10
</t>
        </r>
        <r>
          <rPr>
            <b/>
            <sz val="8"/>
            <color rgb="FF000000"/>
            <rFont val="Tahoma"/>
            <family val="2"/>
          </rPr>
          <t>u07412:</t>
        </r>
        <r>
          <rPr>
            <sz val="8"/>
            <color rgb="FF000000"/>
            <rFont val="Tahoma"/>
            <family val="2"/>
          </rPr>
          <t xml:space="preserve">
$85,608.55 = MWD's portion of medicare for PPE 7/28/07.
MB 8/6/07</t>
        </r>
      </text>
    </comment>
    <comment ref="D22" authorId="0">
      <text>
        <r>
          <rPr>
            <b/>
            <sz val="9"/>
            <color rgb="FF000000"/>
            <rFont val="Tahoma"/>
            <family val="2"/>
          </rPr>
          <t xml:space="preserve">
u08048 (updated by u08048 8/5/13):</t>
        </r>
        <r>
          <rPr>
            <sz val="9"/>
            <color rgb="FF000000"/>
            <rFont val="Tahoma"/>
            <family val="2"/>
          </rPr>
          <t xml:space="preserve">
Amount based on actuary report dtd 6/24/13 page 14 Recommended Funding Table, Projected Ultimate Limited Losses @ expected</t>
        </r>
      </text>
    </comment>
    <comment ref="Q22" authorId="0">
      <text>
        <r>
          <rPr>
            <b/>
            <sz val="9"/>
            <color rgb="FF000000"/>
            <rFont val="Tahoma"/>
            <family val="2"/>
          </rPr>
          <t xml:space="preserve">
u08048 (updated by u07412 7/27/11):</t>
        </r>
        <r>
          <rPr>
            <sz val="9"/>
            <color rgb="FF000000"/>
            <rFont val="Tahoma"/>
            <family val="2"/>
          </rPr>
          <t xml:space="preserve">
Amount based on actuary report dtd 7/19/11 page 14 Recommended Funding Table, Porjected Ultimate Limited Losses @ expected</t>
        </r>
      </text>
    </comment>
    <comment ref="B23" authorId="0">
      <text>
        <r>
          <rPr>
            <b/>
            <sz val="8"/>
            <color rgb="FF000000"/>
            <rFont val="Tahoma"/>
            <family val="2"/>
          </rPr>
          <t>Author:</t>
        </r>
        <r>
          <rPr>
            <sz val="8"/>
            <color rgb="FF000000"/>
            <rFont val="Tahoma"/>
            <family val="2"/>
          </rPr>
          <t xml:space="preserve">
Includes sub-account 1345036</t>
        </r>
      </text>
    </comment>
    <comment ref="D23" authorId="0">
      <text>
        <r>
          <rPr>
            <b/>
            <sz val="8"/>
            <color rgb="FF000000"/>
            <rFont val="Tahoma"/>
            <family val="2"/>
          </rPr>
          <t xml:space="preserve">u08048
</t>
        </r>
        <r>
          <rPr>
            <sz val="8"/>
            <color rgb="FF000000"/>
            <rFont val="Tahoma"/>
            <family val="2"/>
          </rPr>
          <t xml:space="preserve">Use actual FY14 AP payment amount of $32,775,078.
BR 8/5/13
</t>
        </r>
        <r>
          <rPr>
            <b/>
            <sz val="8"/>
            <color rgb="FF000000"/>
            <rFont val="Tahoma"/>
            <family val="2"/>
          </rPr>
          <t xml:space="preserve">
u07421</t>
        </r>
        <r>
          <rPr>
            <sz val="8"/>
            <color rgb="FF000000"/>
            <rFont val="Tahoma"/>
            <family val="2"/>
          </rPr>
          <t xml:space="preserve">
FY11 retirement of $36,506,817 * 1.015 for merit increase * 2.611 for change in PERS rate (14.484-11.873)
7/27/11</t>
        </r>
        <r>
          <rPr>
            <b/>
            <sz val="8"/>
            <color rgb="FF000000"/>
            <rFont val="Tahoma"/>
            <family val="2"/>
          </rPr>
          <t xml:space="preserve">
u08048:
</t>
        </r>
        <r>
          <rPr>
            <sz val="8"/>
            <color rgb="FF000000"/>
            <rFont val="Tahoma"/>
            <family val="2"/>
          </rPr>
          <t xml:space="preserve">FY10 retirement of $36,831,032 * 1.65 percent increase in rate (11.873% - 11.708%)*1.015 merit increase.
BH 7/30/10
</t>
        </r>
        <r>
          <rPr>
            <b/>
            <sz val="8"/>
            <color rgb="FF000000"/>
            <rFont val="Tahoma"/>
            <family val="2"/>
          </rPr>
          <t xml:space="preserve">
u07412:
</t>
        </r>
        <r>
          <rPr>
            <sz val="8"/>
            <color rgb="FF000000"/>
            <rFont val="Tahoma"/>
            <family val="2"/>
          </rPr>
          <t>FY14 Prepayment entire year. Amt reflected was the prepayment.
FY07 retirement * .0009 percent increase in rate from 11.315% to 11.405% + FY07 retirement * 1.027 for COLA increase.
MB 8/6/07</t>
        </r>
      </text>
    </comment>
    <comment ref="Q23" authorId="0">
      <text>
        <r>
          <rPr>
            <b/>
            <sz val="8"/>
            <color rgb="FF000000"/>
            <rFont val="Tahoma"/>
            <family val="2"/>
          </rPr>
          <t>u07421</t>
        </r>
        <r>
          <rPr>
            <sz val="8"/>
            <color rgb="FF000000"/>
            <rFont val="Tahoma"/>
            <family val="2"/>
          </rPr>
          <t xml:space="preserve">
FY11 retirement of $36,506,817 * 1.015 for merit increase * 2.611 for change in PERS rate (14.484-11.873)
7/27/11</t>
        </r>
        <r>
          <rPr>
            <b/>
            <sz val="8"/>
            <color rgb="FF000000"/>
            <rFont val="Tahoma"/>
            <family val="2"/>
          </rPr>
          <t xml:space="preserve">
u08048:
</t>
        </r>
        <r>
          <rPr>
            <sz val="8"/>
            <color rgb="FF000000"/>
            <rFont val="Tahoma"/>
            <family val="2"/>
          </rPr>
          <t xml:space="preserve">FY10 retirement of $36,831,032 * 1.65 percent increase in rate (11.873% - 11.708%)*1.015 merit increase.
BH 7/30/10
</t>
        </r>
        <r>
          <rPr>
            <b/>
            <sz val="8"/>
            <color rgb="FF000000"/>
            <rFont val="Tahoma"/>
            <family val="2"/>
          </rPr>
          <t xml:space="preserve">
u07412:</t>
        </r>
        <r>
          <rPr>
            <sz val="8"/>
            <color rgb="FF000000"/>
            <rFont val="Tahoma"/>
            <family val="2"/>
          </rPr>
          <t xml:space="preserve">
FY07 retirement * .0009 percent increase in rate from 11.315% to 11.405% + FY07 retirement * 1.027 for COLA increase.
MB 8/6/07</t>
        </r>
      </text>
    </comment>
    <comment ref="D24" authorId="0">
      <text>
        <r>
          <rPr>
            <b/>
            <sz val="8"/>
            <color rgb="FF000000"/>
            <rFont val="Tahoma"/>
            <family val="2"/>
          </rPr>
          <t xml:space="preserve">u08048
</t>
        </r>
        <r>
          <rPr>
            <sz val="8"/>
            <color rgb="FF000000"/>
            <rFont val="Tahoma"/>
            <family val="2"/>
          </rPr>
          <t xml:space="preserve">FY13 figure calculated as avg of FY12 and FY11 ($176K+163K)/2
BR 7/30/12
</t>
        </r>
        <r>
          <rPr>
            <b/>
            <sz val="8"/>
            <color rgb="FF000000"/>
            <rFont val="Tahoma"/>
            <family val="2"/>
          </rPr>
          <t xml:space="preserve">
U07412
</t>
        </r>
        <r>
          <rPr>
            <sz val="8"/>
            <color rgb="FF000000"/>
            <rFont val="Tahoma"/>
            <family val="2"/>
          </rPr>
          <t xml:space="preserve">FY12 figure calculated as avg of FY10 and FY11 ($170K+163K)/2
MB 7/27/11
</t>
        </r>
        <r>
          <rPr>
            <b/>
            <sz val="8"/>
            <color rgb="FF000000"/>
            <rFont val="Tahoma"/>
            <family val="2"/>
          </rPr>
          <t xml:space="preserve">
U08048:
</t>
        </r>
        <r>
          <rPr>
            <sz val="8"/>
            <color rgb="FF000000"/>
            <rFont val="Tahoma"/>
            <family val="2"/>
          </rPr>
          <t>FY11 figure calculated as avg of FY09 and FY10 ($122K+$170K/2)</t>
        </r>
        <r>
          <rPr>
            <b/>
            <sz val="8"/>
            <color rgb="FF000000"/>
            <rFont val="Tahoma"/>
            <family val="2"/>
          </rPr>
          <t xml:space="preserve">
u08041:
</t>
        </r>
        <r>
          <rPr>
            <sz val="8"/>
            <color rgb="FF000000"/>
            <rFont val="Tahoma"/>
            <family val="2"/>
          </rPr>
          <t>FY10 figure calculated as avg of FY08 and FY09 ($111K+$122K/2)</t>
        </r>
        <r>
          <rPr>
            <b/>
            <sz val="8"/>
            <color rgb="FF000000"/>
            <rFont val="Tahoma"/>
            <family val="2"/>
          </rPr>
          <t xml:space="preserve">
</t>
        </r>
        <r>
          <rPr>
            <sz val="8"/>
            <color rgb="FF000000"/>
            <rFont val="Tahoma"/>
            <family val="2"/>
          </rPr>
          <t>AM 7/23/09</t>
        </r>
        <r>
          <rPr>
            <b/>
            <sz val="8"/>
            <color rgb="FF000000"/>
            <rFont val="Tahoma"/>
            <family val="2"/>
          </rPr>
          <t xml:space="preserve">
</t>
        </r>
        <r>
          <rPr>
            <sz val="8"/>
            <color rgb="FF000000"/>
            <rFont val="Tahoma"/>
            <family val="2"/>
          </rPr>
          <t xml:space="preserve">
</t>
        </r>
        <r>
          <rPr>
            <b/>
            <sz val="8"/>
            <color rgb="FF000000"/>
            <rFont val="Tahoma"/>
            <family val="2"/>
          </rPr>
          <t>u07412:</t>
        </r>
        <r>
          <rPr>
            <sz val="8"/>
            <color rgb="FF000000"/>
            <rFont val="Tahoma"/>
            <family val="2"/>
          </rPr>
          <t xml:space="preserve">
Estimated 110k for FY07 - actual was $85.9k use $95k for FY08 estimate.
MB 8/6/07</t>
        </r>
      </text>
    </comment>
    <comment ref="Q24" authorId="0">
      <text>
        <r>
          <rPr>
            <b/>
            <sz val="8"/>
            <color rgb="FF000000"/>
            <rFont val="Tahoma"/>
            <family val="2"/>
          </rPr>
          <t xml:space="preserve">U07412
</t>
        </r>
        <r>
          <rPr>
            <sz val="8"/>
            <color rgb="FF000000"/>
            <rFont val="Tahoma"/>
            <family val="2"/>
          </rPr>
          <t xml:space="preserve">FY12 figure calculated as avg of FY10 and FY11 ($170K+163K)/2
MB 7/27/11
</t>
        </r>
        <r>
          <rPr>
            <b/>
            <sz val="8"/>
            <color rgb="FF000000"/>
            <rFont val="Tahoma"/>
            <family val="2"/>
          </rPr>
          <t xml:space="preserve">
U08048:
</t>
        </r>
        <r>
          <rPr>
            <sz val="8"/>
            <color rgb="FF000000"/>
            <rFont val="Tahoma"/>
            <family val="2"/>
          </rPr>
          <t>FY11 figure calculated as avg of FY09 and FY10 ($122K+$170K/2)</t>
        </r>
        <r>
          <rPr>
            <b/>
            <sz val="8"/>
            <color rgb="FF000000"/>
            <rFont val="Tahoma"/>
            <family val="2"/>
          </rPr>
          <t xml:space="preserve">
u08041:
</t>
        </r>
        <r>
          <rPr>
            <sz val="8"/>
            <color rgb="FF000000"/>
            <rFont val="Tahoma"/>
            <family val="2"/>
          </rPr>
          <t>FY10 figure calculated as avg of FY08 and FY09 ($111K+$122K/2)</t>
        </r>
        <r>
          <rPr>
            <b/>
            <sz val="8"/>
            <color rgb="FF000000"/>
            <rFont val="Tahoma"/>
            <family val="2"/>
          </rPr>
          <t xml:space="preserve">
</t>
        </r>
        <r>
          <rPr>
            <sz val="8"/>
            <color rgb="FF000000"/>
            <rFont val="Tahoma"/>
            <family val="2"/>
          </rPr>
          <t>AM 7/23/09</t>
        </r>
        <r>
          <rPr>
            <b/>
            <sz val="8"/>
            <color rgb="FF000000"/>
            <rFont val="Tahoma"/>
            <family val="2"/>
          </rPr>
          <t xml:space="preserve">
u07412:</t>
        </r>
        <r>
          <rPr>
            <sz val="8"/>
            <color rgb="FF000000"/>
            <rFont val="Tahoma"/>
            <family val="2"/>
          </rPr>
          <t xml:space="preserve">
Estimated 110k for FY07 - actual was $85.9k use $95k for FY08 estimate.
MB 8/6/07</t>
        </r>
      </text>
    </comment>
    <comment ref="D25" authorId="0">
      <text>
        <r>
          <rPr>
            <b/>
            <sz val="8"/>
            <color rgb="FF000000"/>
            <rFont val="Tahoma"/>
            <family val="2"/>
          </rPr>
          <t>u08048:</t>
        </r>
        <r>
          <rPr>
            <sz val="8"/>
            <color rgb="FF000000"/>
            <rFont val="Tahoma"/>
            <family val="2"/>
          </rPr>
          <t xml:space="preserve">
Used July 2012 premium ($284,105.08) + Aug 2012 premium ($282,858.13) * 5 for Aug-Dec12 and Aug 2012 premium * 1.25% increase in rates * 6 for Jan-Jun13. (rate increase provided by Camondy Breaux-Burns) 
BR 7/30/12</t>
        </r>
        <r>
          <rPr>
            <b/>
            <sz val="8"/>
            <color rgb="FF000000"/>
            <rFont val="Tahoma"/>
            <family val="2"/>
          </rPr>
          <t xml:space="preserve">
U07412
</t>
        </r>
        <r>
          <rPr>
            <sz val="8"/>
            <color rgb="FF000000"/>
            <rFont val="Tahoma"/>
            <family val="2"/>
          </rPr>
          <t xml:space="preserve">Used July 2011 premium ($258,003.93) * 6 for July-Dec11 and July 2011 premium * 6.4% increase in rates * 6 for Jan-Jun12. (rate increase provided by Diane Pitman/Carmondy Breaux-Burns) 
MB 7/27/11
</t>
        </r>
        <r>
          <rPr>
            <b/>
            <sz val="8"/>
            <color rgb="FF000000"/>
            <rFont val="Tahoma"/>
            <family val="2"/>
          </rPr>
          <t xml:space="preserve">
u08048:</t>
        </r>
        <r>
          <rPr>
            <sz val="8"/>
            <color rgb="FF000000"/>
            <rFont val="Tahoma"/>
            <family val="2"/>
          </rPr>
          <t xml:space="preserve">
Used July 2010 premium * 6 for July-Dec10 and July 2010 premium *4% increase in rates *6 for Jan-Jun11
BH 7/30/10
</t>
        </r>
        <r>
          <rPr>
            <b/>
            <sz val="8"/>
            <color rgb="FF000000"/>
            <rFont val="Tahoma"/>
            <family val="2"/>
          </rPr>
          <t xml:space="preserve">
u07412:</t>
        </r>
        <r>
          <rPr>
            <sz val="8"/>
            <color rgb="FF000000"/>
            <rFont val="Tahoma"/>
            <family val="2"/>
          </rPr>
          <t xml:space="preserve">
Per Carmondy Breaux-Burns, dental will decrease by 2.5% (actual calculated to 2.47%  - however, rates provided do not make sense) as MWD is taking advantage of excess premiums paid previously and deposited in a pool, to reduce the current year premium.  Actual increase without the 'reserve' w/h/b from $130.30 to $136.48; however, with the draw down of the excess amount, the premium will be $127.08... per email calendar 2007 rates are either $130.30 or $132.87 with the calendar 2008 rate being $136.48 - using a draw down of $9.40 per person to reduce the premium.  The 2.5% doesn't calculate on the $130.30 but an alternative calculation gets to approximately same amount (est. # of employees * new rate) etc.
MB 8/6/07
increase 3.5% for new hires.  Per Melinda Snow, HR, there will be no increases to the vision dental or life premiums until January 2008.
Per Amporn, it is planned to offer dental and vision to eligible regular part time employees -- whereby the employee would pay some proportionate share of the premium.  Currently, dental is $130.30 per employee irrespective of number of dependents.  Vision for the employee is $9.28.  At most, the exposure for dental would be $71,925.60 per year and vision $5122.56 per year (total = $77,048.16)
Per Melinda Snow, HR, the plan is if the employee works 20 hours they would reimburse 50% of the premium and for every hour after 20 MWDs pick-up would increase 2.5%.  Melinda indicated preliminary calculations were $35k.
Use # of part time regular employees as of 7/26/06 803A report = 46 x $130.30 x 65% employers cost.
MB 7/27/06</t>
        </r>
      </text>
    </comment>
    <comment ref="Q25" authorId="0">
      <text>
        <r>
          <rPr>
            <b/>
            <sz val="8"/>
            <color rgb="FF000000"/>
            <rFont val="Tahoma"/>
            <family val="2"/>
          </rPr>
          <t xml:space="preserve">U07412
</t>
        </r>
        <r>
          <rPr>
            <sz val="8"/>
            <color rgb="FF000000"/>
            <rFont val="Tahoma"/>
            <family val="2"/>
          </rPr>
          <t xml:space="preserve">Used July 2011 premium ($258,003.93) * 6 for July-Dec11 and July 2011 premium * 6.4% increase in rates * 6 for Jan-Jun12. (rate increase provided by Diane Pitman/Carmondy Breaux-Burns) 
MB 7/27/11
</t>
        </r>
        <r>
          <rPr>
            <b/>
            <sz val="8"/>
            <color rgb="FF000000"/>
            <rFont val="Tahoma"/>
            <family val="2"/>
          </rPr>
          <t xml:space="preserve">
u08048:</t>
        </r>
        <r>
          <rPr>
            <sz val="8"/>
            <color rgb="FF000000"/>
            <rFont val="Tahoma"/>
            <family val="2"/>
          </rPr>
          <t xml:space="preserve">
Used July 2010 premium * 6 for July-Dec10 and July 2010 premium *4% increase in rates *6 for Jan-Jun11
BH 7/30/10
</t>
        </r>
        <r>
          <rPr>
            <b/>
            <sz val="8"/>
            <color rgb="FF000000"/>
            <rFont val="Tahoma"/>
            <family val="2"/>
          </rPr>
          <t xml:space="preserve">
u07412:</t>
        </r>
        <r>
          <rPr>
            <sz val="8"/>
            <color rgb="FF000000"/>
            <rFont val="Tahoma"/>
            <family val="2"/>
          </rPr>
          <t xml:space="preserve">
Per Carmondy Breaux-Burns, dental will decrease by 2.5% (actual calculated to 2.47%  - however, rates provided do not make sense) as MWD is taking advantage of excess premiums paid previously and deposited in a pool, to reduce the current year premium.  Actual increase without the 'reserve' w/h/b from $130.30 to $136.48; however, with the draw down of the excess amount, the premium will be $127.08... per email calendar 2007 rates are either $130.30 or $132.87 with the calendar 2008 rate being $136.48 - using a draw down of $9.40 per person to reduce the premium.  The 2.5% doesn't calculate on the $130.30 but an alternative calculation gets to approximately same amount (est. # of employees * new rate) etc.
MB 8/6/07
increase 3.5% for new hires.  Per Melinda Snow, HR, there will be no increases to the vision dental or life premiums until January 2008.
Per Amporn, it is planned to offer dental and vision to eligible regular part time employees -- whereby the employee would pay some proportionate share of the premium.  Currently, dental is $130.30 per employee irrespective of number of dependents.  Vision for the employee is $9.28.  At most, the exposure for dental would be $71,925.60 per year and vision $5122.56 per year (total = $77,048.16)
Per Melinda Snow, HR, the plan is if the employee works 20 hours they would reimburse 50% of the premium and for every hour after 20 MWDs pick-up would increase 2.5%.  Melinda indicated preliminary calculations were $35k.
Use # of part time regular employees as of 7/26/06 803A report = 46 x $130.30 x 65% employers cost.
MB 7/27/06</t>
        </r>
      </text>
    </comment>
    <comment ref="D26" authorId="0">
      <text>
        <r>
          <rPr>
            <b/>
            <sz val="8"/>
            <color rgb="FF000000"/>
            <rFont val="Tahoma"/>
            <family val="2"/>
          </rPr>
          <t xml:space="preserve">u08048:
</t>
        </r>
        <r>
          <rPr>
            <sz val="8"/>
            <color rgb="FF000000"/>
            <rFont val="Tahoma"/>
            <family val="2"/>
          </rPr>
          <t>Used July 2012 premium ($1,918,589.60) + Aug 2012 premium ($1,907,398.70) * 5 for Aug-Dec12 and Aug 2012 premium * 9.6% increase in rates * 6 for Jan-Jun13 + 158993 (Jul-12 cost) *12 for medical fringe benefits. (rate increase provided by Camondy Breaux-Burns) 
BR 7/30/12</t>
        </r>
        <r>
          <rPr>
            <b/>
            <sz val="8"/>
            <color rgb="FF000000"/>
            <rFont val="Tahoma"/>
            <family val="2"/>
          </rPr>
          <t xml:space="preserve">
u07412
</t>
        </r>
        <r>
          <rPr>
            <sz val="8"/>
            <color rgb="FF000000"/>
            <rFont val="Tahoma"/>
            <family val="2"/>
          </rPr>
          <t xml:space="preserve">Used Aug 2011 premium ($1,936,911.46) * 6 for July-Dec11 and Aug 2011 premium * 3.7% increase in rates *6 for Jan-Jun12 + 56,500 (approx. Jun-11 cost) *12 for medical fringe benefits. (rate increase provided by Diane Pitman/Carmondy Breaux-Burns) 
MB 7/27/11
</t>
        </r>
        <r>
          <rPr>
            <b/>
            <sz val="8"/>
            <color rgb="FF000000"/>
            <rFont val="Tahoma"/>
            <family val="2"/>
          </rPr>
          <t xml:space="preserve">
U08048:</t>
        </r>
        <r>
          <rPr>
            <sz val="8"/>
            <color rgb="FF000000"/>
            <rFont val="Tahoma"/>
            <family val="2"/>
          </rPr>
          <t xml:space="preserve">
Used Aug 2010 premium * 6 for July-Dec10 and Aug 2010 premium *9.1 increase in rates *6 for Jan-Jun11 + 60538 *12 for medical fringe benefits.
BH 7/30/10</t>
        </r>
        <r>
          <rPr>
            <b/>
            <sz val="8"/>
            <color rgb="FF000000"/>
            <rFont val="Tahoma"/>
            <family val="2"/>
          </rPr>
          <t xml:space="preserve">
u07412:</t>
        </r>
        <r>
          <rPr>
            <sz val="8"/>
            <color rgb="FF000000"/>
            <rFont val="Tahoma"/>
            <family val="2"/>
          </rPr>
          <t xml:space="preserve">
Use average of July and August 2007 medical premium for remainder of year + this amount *1.063 (per Carmondy Breaux-Burns, medical will increase by 6.3% overall in January 2008) for January - June 2008.
MB 8/6/07</t>
        </r>
      </text>
    </comment>
    <comment ref="Q26" authorId="0">
      <text>
        <r>
          <rPr>
            <b/>
            <sz val="8"/>
            <color rgb="FF000000"/>
            <rFont val="Tahoma"/>
            <family val="2"/>
          </rPr>
          <t xml:space="preserve">u07412
</t>
        </r>
        <r>
          <rPr>
            <sz val="8"/>
            <color rgb="FF000000"/>
            <rFont val="Tahoma"/>
            <family val="2"/>
          </rPr>
          <t xml:space="preserve">Used Aug 2011 premium ($1,936,911.46) * 6 for July-Dec11 and Aug 2011 premium * 3.7% increase in rates *6 for Jan-Jun12 + 56,500 (approx. Jun-11 cost) *12 for medical fringe benefits. (rate increase provided by Diane Pitman/Carmondy Breaux-Burns) 
MB 7/27/11
</t>
        </r>
        <r>
          <rPr>
            <b/>
            <sz val="8"/>
            <color rgb="FF000000"/>
            <rFont val="Tahoma"/>
            <family val="2"/>
          </rPr>
          <t xml:space="preserve">
U08048:</t>
        </r>
        <r>
          <rPr>
            <sz val="8"/>
            <color rgb="FF000000"/>
            <rFont val="Tahoma"/>
            <family val="2"/>
          </rPr>
          <t xml:space="preserve">
Used Aug 2010 premium * 6 for July-Dec10 and Aug 2010 premium *9.1 increase in rates *6 for Jan-Jun11 + 60538 *12 for medical fringe benefits.
BH 7/30/10</t>
        </r>
        <r>
          <rPr>
            <b/>
            <sz val="8"/>
            <color rgb="FF000000"/>
            <rFont val="Tahoma"/>
            <family val="2"/>
          </rPr>
          <t xml:space="preserve">
u07412:</t>
        </r>
        <r>
          <rPr>
            <sz val="8"/>
            <color rgb="FF000000"/>
            <rFont val="Tahoma"/>
            <family val="2"/>
          </rPr>
          <t xml:space="preserve">
Use average of July and August 2007 medical premium for remainder of year + this amount *1.063 (per Carmondy Breaux-Burns, medical will increase by 6.3% overall in January 2008) for January - June 2008.
MB 8/6/07</t>
        </r>
      </text>
    </comment>
    <comment ref="D27" authorId="0">
      <text>
        <r>
          <rPr>
            <b/>
            <sz val="8"/>
            <color rgb="FF000000"/>
            <rFont val="Tahoma"/>
            <family val="2"/>
          </rPr>
          <t xml:space="preserve">u08048:
</t>
        </r>
        <r>
          <rPr>
            <sz val="8"/>
            <color rgb="FF000000"/>
            <rFont val="Tahoma"/>
            <family val="2"/>
          </rPr>
          <t>Used July 2012 premium ($1,066,322.13) + Aug 2012 premium ($1,070,573.71) * 5 for Aug-Dec12 and Aug 2012 premium * 9.6% increase in rates * 6 for Jan-Jun13. (rate increase provided by Camondy Breaux-Burns) 
BR 7/30/12</t>
        </r>
        <r>
          <rPr>
            <b/>
            <sz val="8"/>
            <color rgb="FF000000"/>
            <rFont val="Tahoma"/>
            <family val="2"/>
          </rPr>
          <t xml:space="preserve">
u07412:
</t>
        </r>
        <r>
          <rPr>
            <sz val="8"/>
            <color rgb="FF000000"/>
            <rFont val="Tahoma"/>
            <family val="2"/>
          </rPr>
          <t>Used Aug 2011 premium ($1,045,709.90) * 6 for July-Dec11 and Aug 2011 premium * 3.7% increase in rates * 6 for Jan-Jun12 (rate increase provided by Diane Pitman) 
MB 7/27/11</t>
        </r>
        <r>
          <rPr>
            <b/>
            <sz val="8"/>
            <color rgb="FF000000"/>
            <rFont val="Tahoma"/>
            <family val="2"/>
          </rPr>
          <t xml:space="preserve">
u08048:
</t>
        </r>
        <r>
          <rPr>
            <sz val="8"/>
            <color rgb="FF000000"/>
            <rFont val="Tahoma"/>
            <family val="2"/>
          </rPr>
          <t xml:space="preserve">Used Aug 2010 premium * 6 for July-Dec10 and Aug 2010 premium * 9.1% increase in rates *6 for 
Jan-Jun11
BH 7/30/10
</t>
        </r>
        <r>
          <rPr>
            <b/>
            <sz val="8"/>
            <color rgb="FF000000"/>
            <rFont val="Tahoma"/>
            <family val="2"/>
          </rPr>
          <t xml:space="preserve">
u07412:</t>
        </r>
        <r>
          <rPr>
            <sz val="8"/>
            <color rgb="FF000000"/>
            <rFont val="Tahoma"/>
            <family val="2"/>
          </rPr>
          <t xml:space="preserve">
Used average of July and August 2007 actual premiums *6 and *6.3% *6 for projected increase January - June 2008.
MB 8/6/07</t>
        </r>
      </text>
    </comment>
    <comment ref="Q27" authorId="0">
      <text>
        <r>
          <rPr>
            <b/>
            <sz val="8"/>
            <color rgb="FF000000"/>
            <rFont val="Tahoma"/>
            <family val="2"/>
          </rPr>
          <t>Author:</t>
        </r>
        <r>
          <rPr>
            <sz val="8"/>
            <color rgb="FF000000"/>
            <rFont val="Tahoma"/>
            <family val="2"/>
          </rPr>
          <t xml:space="preserve">
Used Aug 2011 premium ($1,045,709.90) * 6 for July-Dec11 and Aug 2011 premium * 3.7% increase in rates * 6 for Jan-Jun12 (rate increase provided by Diane Pitman) 
MB 7/27/11</t>
        </r>
        <r>
          <rPr>
            <b/>
            <sz val="8"/>
            <color rgb="FF000000"/>
            <rFont val="Tahoma"/>
            <family val="2"/>
          </rPr>
          <t xml:space="preserve">
u08048:
</t>
        </r>
        <r>
          <rPr>
            <sz val="8"/>
            <color rgb="FF000000"/>
            <rFont val="Tahoma"/>
            <family val="2"/>
          </rPr>
          <t xml:space="preserve">Used Aug 2010 premium * 6 for July-Dec10 and Aug 2010 premium * 9.1% increase in rates *6 for 
Jan-Jun11
BH 7/30/10
</t>
        </r>
        <r>
          <rPr>
            <b/>
            <sz val="8"/>
            <color rgb="FF000000"/>
            <rFont val="Tahoma"/>
            <family val="2"/>
          </rPr>
          <t xml:space="preserve">
u07412:</t>
        </r>
        <r>
          <rPr>
            <sz val="8"/>
            <color rgb="FF000000"/>
            <rFont val="Tahoma"/>
            <family val="2"/>
          </rPr>
          <t xml:space="preserve">
Used average of July and August 2007 actual premiums *6 and *6.3% *6 for projected increase January - June 2008.
MB 8/6/07</t>
        </r>
      </text>
    </comment>
    <comment ref="D28" authorId="0">
      <text>
        <r>
          <rPr>
            <b/>
            <sz val="9"/>
            <color rgb="FF000000"/>
            <rFont val="Tahoma"/>
            <family val="2"/>
          </rPr>
          <t>Author:</t>
        </r>
        <r>
          <rPr>
            <sz val="9"/>
            <color rgb="FF000000"/>
            <rFont val="Tahoma"/>
            <family val="2"/>
          </rPr>
          <t xml:space="preserve">
From the Board approved Budget.  Move above the line per Tom (remove from unfunded OPEB 1345052)
BR 8/2/12</t>
        </r>
      </text>
    </comment>
    <comment ref="D29" authorId="0">
      <text>
        <r>
          <rPr>
            <b/>
            <sz val="8"/>
            <color rgb="FF000000"/>
            <rFont val="Tahoma"/>
            <family val="2"/>
          </rPr>
          <t xml:space="preserve">u08048:
</t>
        </r>
        <r>
          <rPr>
            <sz val="8"/>
            <color rgb="FF000000"/>
            <rFont val="Tahoma"/>
            <family val="2"/>
          </rPr>
          <t xml:space="preserve">Used July 2012 premium ($16,526.15) + Aug 2012 premium ($16,483.22) * 11 for Aug12-Jun13. No rate increase per Camondy Breaux-Burns
BR 7/30/12
</t>
        </r>
        <r>
          <rPr>
            <b/>
            <sz val="8"/>
            <color rgb="FF000000"/>
            <rFont val="Tahoma"/>
            <family val="2"/>
          </rPr>
          <t xml:space="preserve">
u7412:</t>
        </r>
        <r>
          <rPr>
            <sz val="8"/>
            <color rgb="FF000000"/>
            <rFont val="Tahoma"/>
            <family val="2"/>
          </rPr>
          <t xml:space="preserve">
Use July 2011 premium *12
($16,907.28)
MB 7/27/11</t>
        </r>
        <r>
          <rPr>
            <b/>
            <sz val="8"/>
            <color rgb="FF000000"/>
            <rFont val="Tahoma"/>
            <family val="2"/>
          </rPr>
          <t xml:space="preserve">
u08048:
</t>
        </r>
        <r>
          <rPr>
            <sz val="8"/>
            <color rgb="FF000000"/>
            <rFont val="Tahoma"/>
            <family val="2"/>
          </rPr>
          <t xml:space="preserve">Use July 2010 premium *12
BH 7/30/10
</t>
        </r>
        <r>
          <rPr>
            <b/>
            <sz val="8"/>
            <color rgb="FF000000"/>
            <rFont val="Tahoma"/>
            <family val="2"/>
          </rPr>
          <t xml:space="preserve">
u07412:</t>
        </r>
        <r>
          <rPr>
            <sz val="8"/>
            <color rgb="FF000000"/>
            <rFont val="Tahoma"/>
            <family val="2"/>
          </rPr>
          <t xml:space="preserve">
Use July 2007 premium * 12 and change temporary to 38 employees consistent with dental calculation.
MB 8/6/07
Increase July premium by 3.5% for new hires… no increase to premiums until January 2008, add cost for part time regulars at an assumed 65% payment for MWD and 46 part time regular employees.  Per Carmonday Breaux-Burns, no rate increase in January 2008.
MB 7/27/06</t>
        </r>
      </text>
    </comment>
    <comment ref="Q29" authorId="0">
      <text>
        <r>
          <rPr>
            <b/>
            <sz val="8"/>
            <color rgb="FF000000"/>
            <rFont val="Tahoma"/>
            <family val="2"/>
          </rPr>
          <t>u7412:</t>
        </r>
        <r>
          <rPr>
            <sz val="8"/>
            <color rgb="FF000000"/>
            <rFont val="Tahoma"/>
            <family val="2"/>
          </rPr>
          <t xml:space="preserve">
Use July 2011 premium *12
($16,907.28)
MB 7/27/11</t>
        </r>
        <r>
          <rPr>
            <b/>
            <sz val="8"/>
            <color rgb="FF000000"/>
            <rFont val="Tahoma"/>
            <family val="2"/>
          </rPr>
          <t xml:space="preserve">
u08048:
</t>
        </r>
        <r>
          <rPr>
            <sz val="8"/>
            <color rgb="FF000000"/>
            <rFont val="Tahoma"/>
            <family val="2"/>
          </rPr>
          <t xml:space="preserve">Use July 2010 premium *12
BH 7/30/10
</t>
        </r>
        <r>
          <rPr>
            <b/>
            <sz val="8"/>
            <color rgb="FF000000"/>
            <rFont val="Tahoma"/>
            <family val="2"/>
          </rPr>
          <t xml:space="preserve">
u07412:</t>
        </r>
        <r>
          <rPr>
            <sz val="8"/>
            <color rgb="FF000000"/>
            <rFont val="Tahoma"/>
            <family val="2"/>
          </rPr>
          <t xml:space="preserve">
Use July 2007 premium * 12 and change temporary to 38 employees consistent with dental calculation.
MB 8/6/07
Increase July premium by 3.5% for new hires… no increase to premiums until January 2008, add cost for part time regulars at an assumed 65% payment for MWD and 46 part time regular employees.  Per Carmonday Breaux-Burns, no rate increase in January 2008.
MB 7/27/06</t>
        </r>
      </text>
    </comment>
    <comment ref="D30" authorId="0">
      <text>
        <r>
          <rPr>
            <b/>
            <sz val="8"/>
            <color rgb="FF000000"/>
            <rFont val="Tahoma"/>
            <family val="2"/>
          </rPr>
          <t xml:space="preserve">u08048:
</t>
        </r>
        <r>
          <rPr>
            <sz val="8"/>
            <color rgb="FF000000"/>
            <rFont val="Tahoma"/>
            <family val="2"/>
          </rPr>
          <t>Used July 2013 premium ($34,113.84*12 months).  No increase per Carmondy Breaux-Burns.  We have a 3-year rate guarantee.
BR 8/5/13</t>
        </r>
        <r>
          <rPr>
            <b/>
            <sz val="8"/>
            <color rgb="FF000000"/>
            <rFont val="Tahoma"/>
            <family val="2"/>
          </rPr>
          <t xml:space="preserve">
u08048:</t>
        </r>
        <r>
          <rPr>
            <sz val="8"/>
            <color rgb="FF000000"/>
            <rFont val="Tahoma"/>
            <family val="2"/>
          </rPr>
          <t xml:space="preserve">
Used July 2012 premium ($284,105.08) + Aug 2012 premium ($282,858.13) * 5 for Aug-Dec12 and Aug 2012 premium * 1.25% increase in rates * 6 for Jan-Jun13. (rate increase provided by Camondy Breaux-Burns) 
BR 7/30/12</t>
        </r>
        <r>
          <rPr>
            <b/>
            <sz val="8"/>
            <color rgb="FF000000"/>
            <rFont val="Tahoma"/>
            <family val="2"/>
          </rPr>
          <t xml:space="preserve">
u7412:
</t>
        </r>
        <r>
          <rPr>
            <sz val="8"/>
            <color rgb="FF000000"/>
            <rFont val="Tahoma"/>
            <family val="2"/>
          </rPr>
          <t>Used Jul-11 premium * 12 months ($23,171.03)
MB 7/27/11</t>
        </r>
        <r>
          <rPr>
            <b/>
            <sz val="8"/>
            <color rgb="FF000000"/>
            <rFont val="Tahoma"/>
            <family val="2"/>
          </rPr>
          <t xml:space="preserve">
u08048:
</t>
        </r>
        <r>
          <rPr>
            <sz val="8"/>
            <color rgb="FF000000"/>
            <rFont val="Tahoma"/>
            <family val="2"/>
          </rPr>
          <t xml:space="preserve">Used Jul-10 premium * 12 months
BH 7/30/10
</t>
        </r>
        <r>
          <rPr>
            <b/>
            <sz val="8"/>
            <color rgb="FF000000"/>
            <rFont val="Tahoma"/>
            <family val="2"/>
          </rPr>
          <t xml:space="preserve">
u07412:</t>
        </r>
        <r>
          <rPr>
            <sz val="8"/>
            <color rgb="FF000000"/>
            <rFont val="Tahoma"/>
            <family val="2"/>
          </rPr>
          <t xml:space="preserve">
Use July 2007 rate of $36,694.83 x 12.  Per Carmondy Breaux-Burns, no rate increase January 2008 and per David Buening - budgeted -3 on headcount.
MB 8/6/07
increase life insurance by 3.5% for new employees/participants.  Per Melinda Snow, HR, there will be no increase to this premium until January 2008.
MB 7/27/06</t>
        </r>
      </text>
    </comment>
    <comment ref="Q30" authorId="0">
      <text>
        <r>
          <rPr>
            <b/>
            <sz val="8"/>
            <color rgb="FF000000"/>
            <rFont val="Tahoma"/>
            <family val="2"/>
          </rPr>
          <t xml:space="preserve">u7412:
</t>
        </r>
        <r>
          <rPr>
            <sz val="8"/>
            <color rgb="FF000000"/>
            <rFont val="Tahoma"/>
            <family val="2"/>
          </rPr>
          <t>Used Jul-11 premium * 12 months ($23,171.03)
MB 7/27/11</t>
        </r>
        <r>
          <rPr>
            <b/>
            <sz val="8"/>
            <color rgb="FF000000"/>
            <rFont val="Tahoma"/>
            <family val="2"/>
          </rPr>
          <t xml:space="preserve">
u08048:
</t>
        </r>
        <r>
          <rPr>
            <sz val="8"/>
            <color rgb="FF000000"/>
            <rFont val="Tahoma"/>
            <family val="2"/>
          </rPr>
          <t xml:space="preserve">Used Jul-10 premium * 12 months
BH 7/30/10
</t>
        </r>
        <r>
          <rPr>
            <b/>
            <sz val="8"/>
            <color rgb="FF000000"/>
            <rFont val="Tahoma"/>
            <family val="2"/>
          </rPr>
          <t xml:space="preserve">
u07412:</t>
        </r>
        <r>
          <rPr>
            <sz val="8"/>
            <color rgb="FF000000"/>
            <rFont val="Tahoma"/>
            <family val="2"/>
          </rPr>
          <t xml:space="preserve">
Use July 2007 rate of $36,694.83 x 12.  Per Carmondy Breaux-Burns, no rate increase January 2008 and per David Buening - budgeted -3 on headcount.
MB 8/6/07
increase life insurance by 3.5% for new employees/participants.  Per Melinda Snow, HR, there will be no increase to this premium until January 2008.
MB 7/27/06</t>
        </r>
      </text>
    </comment>
    <comment ref="D31" authorId="0">
      <text>
        <r>
          <rPr>
            <b/>
            <sz val="8"/>
            <color rgb="FF000000"/>
            <rFont val="Tahoma"/>
            <family val="2"/>
          </rPr>
          <t>Author:</t>
        </r>
        <r>
          <rPr>
            <sz val="8"/>
            <color rgb="FF000000"/>
            <rFont val="Tahoma"/>
            <family val="2"/>
          </rPr>
          <t xml:space="preserve">
FY11 actual of $7,574,432 *1.015 merit increase = $7,688,048.  Using PPE 7/9/11 payment of $279,109.12 * 26 = $7,256,837.12.  Use First calculation.</t>
        </r>
        <r>
          <rPr>
            <b/>
            <sz val="8"/>
            <color rgb="FF000000"/>
            <rFont val="Tahoma"/>
            <family val="2"/>
          </rPr>
          <t xml:space="preserve">
u08048:
</t>
        </r>
        <r>
          <rPr>
            <sz val="8"/>
            <color rgb="FF000000"/>
            <rFont val="Tahoma"/>
            <family val="2"/>
          </rPr>
          <t xml:space="preserve">FY10 actual of $7,651,752 *1.015 merit increase = $7,766,528.28.  Using PPE 7/10/10 payment of $282,618.36 * 26 = $7,348,077.36.  Use First calculation.
</t>
        </r>
        <r>
          <rPr>
            <b/>
            <sz val="8"/>
            <color rgb="FF000000"/>
            <rFont val="Tahoma"/>
            <family val="2"/>
          </rPr>
          <t>u07412:</t>
        </r>
        <r>
          <rPr>
            <sz val="8"/>
            <color rgb="FF000000"/>
            <rFont val="Tahoma"/>
            <family val="2"/>
          </rPr>
          <t xml:space="preserve">
Use PPE 7/14/07 of $272,507.89 * 26 for estimated amount.  Alternative calculation of FY07 actual of $6,969,696 *1.027 for COLA yields a similar result - difference of $72,678.
MB 8/6/07</t>
        </r>
      </text>
    </comment>
    <comment ref="Q31" authorId="0">
      <text>
        <r>
          <rPr>
            <b/>
            <sz val="8"/>
            <color rgb="FF000000"/>
            <rFont val="Tahoma"/>
            <family val="2"/>
          </rPr>
          <t>Author:</t>
        </r>
        <r>
          <rPr>
            <sz val="8"/>
            <color rgb="FF000000"/>
            <rFont val="Tahoma"/>
            <family val="2"/>
          </rPr>
          <t xml:space="preserve">
FY11 actual of $7,574,432 *1.015 merit increase = $7,688,048.  Using PPE 7/9/11 payment of $279,109.12 * 26 = $7,256,837.12.  Use First calculation.</t>
        </r>
        <r>
          <rPr>
            <b/>
            <sz val="8"/>
            <color rgb="FF000000"/>
            <rFont val="Tahoma"/>
            <family val="2"/>
          </rPr>
          <t xml:space="preserve">
u08048:
</t>
        </r>
        <r>
          <rPr>
            <sz val="8"/>
            <color rgb="FF000000"/>
            <rFont val="Tahoma"/>
            <family val="2"/>
          </rPr>
          <t xml:space="preserve">FY10 actual of $7,651,752 *1.015 merit increase = $7,766,528.28.  Using PPE 7/10/10 payment of $282,618.36 * 26 = $7,348,077.36.  Use First calculation.
</t>
        </r>
        <r>
          <rPr>
            <b/>
            <sz val="8"/>
            <color rgb="FF000000"/>
            <rFont val="Tahoma"/>
            <family val="2"/>
          </rPr>
          <t>u07412:</t>
        </r>
        <r>
          <rPr>
            <sz val="8"/>
            <color rgb="FF000000"/>
            <rFont val="Tahoma"/>
            <family val="2"/>
          </rPr>
          <t xml:space="preserve">
Use PPE 7/14/07 of $272,507.89 * 26 for estimated amount.  Alternative calculation of FY07 actual of $6,969,696 *1.027 for COLA yields a similar result - difference of $72,678.
MB 8/6/07</t>
        </r>
      </text>
    </comment>
    <comment ref="B32" authorId="0">
      <text>
        <r>
          <rPr>
            <b/>
            <sz val="8"/>
            <color rgb="FF000000"/>
            <rFont val="Tahoma"/>
            <family val="2"/>
          </rPr>
          <t>Author:</t>
        </r>
        <r>
          <rPr>
            <sz val="8"/>
            <color rgb="FF000000"/>
            <rFont val="Tahoma"/>
            <family val="2"/>
          </rPr>
          <t xml:space="preserve">
included with Life Insurance.
MB 3/1/06</t>
        </r>
      </text>
    </comment>
    <comment ref="D35" authorId="0">
      <text>
        <r>
          <rPr>
            <b/>
            <sz val="8"/>
            <color rgb="FF000000"/>
            <rFont val="Tahoma"/>
            <family val="2"/>
          </rPr>
          <t xml:space="preserve">u08048:
</t>
        </r>
        <r>
          <rPr>
            <sz val="8"/>
            <color rgb="FF000000"/>
            <rFont val="Tahoma"/>
            <family val="2"/>
          </rPr>
          <t xml:space="preserve">Used 2014 AOC amount with $15 million prefunding on page 23 of Bartel's Actuarial report dtd 9/17/12
BR 8/5/13
</t>
        </r>
        <r>
          <rPr>
            <b/>
            <sz val="8"/>
            <color rgb="FF000000"/>
            <rFont val="Tahoma"/>
            <family val="2"/>
          </rPr>
          <t xml:space="preserve">
u08048:</t>
        </r>
        <r>
          <rPr>
            <sz val="8"/>
            <color rgb="FF000000"/>
            <rFont val="Tahoma"/>
            <family val="2"/>
          </rPr>
          <t xml:space="preserve">
Per discussion with Tom DeBacker and Marilyn Brooks on 8/9/12, we should use the Annual OPEB Cost (AOC) number instead of the ARC so amount was changed ton $46,262,000.
BR 8/9/12
Amount derived from FY2013 ARC of $50,542,000 less Medical Insurance - Retired at cell E27 ($13,459,300)
BH 7/30/12</t>
        </r>
        <r>
          <rPr>
            <b/>
            <sz val="8"/>
            <color rgb="FF000000"/>
            <rFont val="Tahoma"/>
            <family val="2"/>
          </rPr>
          <t xml:space="preserve">
u07412
</t>
        </r>
        <r>
          <rPr>
            <sz val="8"/>
            <color rgb="FF000000"/>
            <rFont val="Tahoma"/>
            <family val="2"/>
          </rPr>
          <t>Actuarial Report not yet available for FY12 -- increased FY11 amount just under 5% for an estimated amount to amortize of $36 million. Retired premiums + this OPEB = $36 million.</t>
        </r>
        <r>
          <rPr>
            <b/>
            <sz val="8"/>
            <color rgb="FF000000"/>
            <rFont val="Tahoma"/>
            <family val="2"/>
          </rPr>
          <t xml:space="preserve">
</t>
        </r>
        <r>
          <rPr>
            <sz val="8"/>
            <color rgb="FF000000"/>
            <rFont val="Tahoma"/>
            <family val="2"/>
          </rPr>
          <t>7/27/11</t>
        </r>
        <r>
          <rPr>
            <b/>
            <sz val="8"/>
            <color rgb="FF000000"/>
            <rFont val="Tahoma"/>
            <family val="2"/>
          </rPr>
          <t xml:space="preserve">
u08048:
</t>
        </r>
        <r>
          <rPr>
            <sz val="8"/>
            <color rgb="FF000000"/>
            <rFont val="Tahoma"/>
            <family val="2"/>
          </rPr>
          <t xml:space="preserve">Amount derived from FY2011 AOC of $34,579,000 less Medical Insurance - Retired at cell E27
BH 7/30/10
</t>
        </r>
        <r>
          <rPr>
            <b/>
            <sz val="8"/>
            <color rgb="FF000000"/>
            <rFont val="Tahoma"/>
            <family val="2"/>
          </rPr>
          <t xml:space="preserve">u08041:
</t>
        </r>
        <r>
          <rPr>
            <sz val="8"/>
            <color rgb="FF000000"/>
            <rFont val="Tahoma"/>
            <family val="2"/>
          </rPr>
          <t>Incl $2.1M to compensate for increase in liab. Calc is based on FY09 OPEB liab as the FY10 has not been finalized by actuary.
AM 8/3/09</t>
        </r>
        <r>
          <rPr>
            <b/>
            <sz val="8"/>
            <color rgb="FF000000"/>
            <rFont val="Tahoma"/>
            <family val="2"/>
          </rPr>
          <t xml:space="preserve">
u07412:</t>
        </r>
        <r>
          <rPr>
            <sz val="8"/>
            <color rgb="FF000000"/>
            <rFont val="Tahoma"/>
            <family val="2"/>
          </rPr>
          <t xml:space="preserve">
FY08 ARC of $38,927k (from Bartel report) less the estimated retiree amount to be paid of $10,103.3k.
MB 8/6/07
MB 8/6/07</t>
        </r>
      </text>
    </comment>
    <comment ref="Q35" authorId="0">
      <text>
        <r>
          <rPr>
            <b/>
            <sz val="8"/>
            <color rgb="FF000000"/>
            <rFont val="Tahoma"/>
            <family val="2"/>
          </rPr>
          <t xml:space="preserve">u07412
</t>
        </r>
        <r>
          <rPr>
            <sz val="8"/>
            <color rgb="FF000000"/>
            <rFont val="Tahoma"/>
            <family val="2"/>
          </rPr>
          <t>Actuarial Report not yet available for FY12 -- increased FY11 amount just under 5% for an estimated amount to amortize of $36 million. Retired premiums + this OPEB = $36 million.</t>
        </r>
        <r>
          <rPr>
            <b/>
            <sz val="8"/>
            <color rgb="FF000000"/>
            <rFont val="Tahoma"/>
            <family val="2"/>
          </rPr>
          <t xml:space="preserve">
</t>
        </r>
        <r>
          <rPr>
            <sz val="8"/>
            <color rgb="FF000000"/>
            <rFont val="Tahoma"/>
            <family val="2"/>
          </rPr>
          <t>7/27/11</t>
        </r>
        <r>
          <rPr>
            <b/>
            <sz val="8"/>
            <color rgb="FF000000"/>
            <rFont val="Tahoma"/>
            <family val="2"/>
          </rPr>
          <t xml:space="preserve">
u08048:
</t>
        </r>
        <r>
          <rPr>
            <sz val="8"/>
            <color rgb="FF000000"/>
            <rFont val="Tahoma"/>
            <family val="2"/>
          </rPr>
          <t xml:space="preserve">Amount derived from FY2011 AOC of $34,579,000 less Medical Insurance - Retired at cell E27
BH 7/30/10
</t>
        </r>
        <r>
          <rPr>
            <b/>
            <sz val="8"/>
            <color rgb="FF000000"/>
            <rFont val="Tahoma"/>
            <family val="2"/>
          </rPr>
          <t xml:space="preserve">u08041:
</t>
        </r>
        <r>
          <rPr>
            <sz val="8"/>
            <color rgb="FF000000"/>
            <rFont val="Tahoma"/>
            <family val="2"/>
          </rPr>
          <t>Incl $2.1M to compensate for increase in liab. Calc is based on FY09 OPEB liab as the FY10 has not been finalized by actuary.
AM 8/3/09</t>
        </r>
        <r>
          <rPr>
            <b/>
            <sz val="8"/>
            <color rgb="FF000000"/>
            <rFont val="Tahoma"/>
            <family val="2"/>
          </rPr>
          <t xml:space="preserve">
u07412:</t>
        </r>
        <r>
          <rPr>
            <sz val="8"/>
            <color rgb="FF000000"/>
            <rFont val="Tahoma"/>
            <family val="2"/>
          </rPr>
          <t xml:space="preserve">
FY08 ARC of $38,927k (from Bartel report) less the estimated retiree amount to be paid of $10,103.3k.
MB 8/6/07
MB 8/6/07</t>
        </r>
      </text>
    </comment>
    <comment ref="E42" authorId="0">
      <text>
        <r>
          <rPr>
            <b/>
            <sz val="8"/>
            <color rgb="FF000000"/>
            <rFont val="Tahoma"/>
            <family val="2"/>
          </rPr>
          <t>Author:</t>
        </r>
        <r>
          <rPr>
            <sz val="8"/>
            <color rgb="FF000000"/>
            <rFont val="Tahoma"/>
            <family val="2"/>
          </rPr>
          <t xml:space="preserve">
Less adjustment for compensated absences - non-leave related piece of rate.  Same for sick.
MB 8/6/07</t>
        </r>
      </text>
    </comment>
    <comment ref="R42" authorId="0">
      <text>
        <r>
          <rPr>
            <b/>
            <sz val="8"/>
            <color rgb="FF000000"/>
            <rFont val="Tahoma"/>
            <family val="2"/>
          </rPr>
          <t>Author:</t>
        </r>
        <r>
          <rPr>
            <sz val="8"/>
            <color rgb="FF000000"/>
            <rFont val="Tahoma"/>
            <family val="2"/>
          </rPr>
          <t xml:space="preserve">
Less adjustment for compensated absences - non-leave related piece of rate.  Same for sick.
MB 8/6/07</t>
        </r>
      </text>
    </comment>
    <comment ref="E51" authorId="0">
      <text>
        <r>
          <rPr>
            <b/>
            <sz val="9"/>
            <color rgb="FF000000"/>
            <rFont val="Tahoma"/>
            <family val="2"/>
          </rPr>
          <t>Author:</t>
        </r>
        <r>
          <rPr>
            <sz val="9"/>
            <color rgb="FF000000"/>
            <rFont val="Tahoma"/>
            <family val="2"/>
          </rPr>
          <t xml:space="preserve">
FY11 Labor est is about $220K less than FY10 actual labor due the number of FTEs has gone down from 1950 in Jan-09 to 1891 in Jul-10.  In addition, Reg + Temps labor does not take into account that the decrease in disability leaves will increase the total Reg + Temps labor this difference will amount to about $300K more.
BH 8/2/10 as discussed with MB.
  </t>
        </r>
      </text>
    </comment>
    <comment ref="R51" authorId="0">
      <text>
        <r>
          <rPr>
            <b/>
            <sz val="9"/>
            <color rgb="FF000000"/>
            <rFont val="Tahoma"/>
            <family val="2"/>
          </rPr>
          <t>Author:</t>
        </r>
        <r>
          <rPr>
            <sz val="9"/>
            <color rgb="FF000000"/>
            <rFont val="Tahoma"/>
            <family val="2"/>
          </rPr>
          <t xml:space="preserve">
FY11 Labor est is about $220K less than FY10 actual labor due the number of FTEs has gone down from 1950 in Jan-09 to 1891 in Jul-10.  In addition, Reg + Temps labor does not take into account that the decrease in disability leaves will increase the total Reg + Temps labor this difference will amount to about $300K more.
BH 8/2/10 as discussed with MB.
  </t>
        </r>
      </text>
    </comment>
  </commentList>
</comments>
</file>

<file path=xl/sharedStrings.xml><?xml version="1.0" encoding="utf-8"?>
<sst xmlns="http://schemas.openxmlformats.org/spreadsheetml/2006/main" count="134" uniqueCount="84">
  <si>
    <t>Metropolitan Water District of Southern California</t>
  </si>
  <si>
    <t>Additive Rate Calculation</t>
  </si>
  <si>
    <t xml:space="preserve"> FY 2013-14</t>
  </si>
  <si>
    <t>Labor base includes - straight time, overtime less premium</t>
  </si>
  <si>
    <t>FY13-14 Estimate</t>
  </si>
  <si>
    <t>Change FY14 est - FY13 act</t>
  </si>
  <si>
    <t>FY12-13 Actual</t>
  </si>
  <si>
    <t>Change FY13 act - FY13 est</t>
  </si>
  <si>
    <t>FY12-13 Estimate</t>
  </si>
  <si>
    <t>Estimated</t>
  </si>
  <si>
    <t>Reg Labor</t>
  </si>
  <si>
    <t>Reg+Temp Labor</t>
  </si>
  <si>
    <t>Acct</t>
  </si>
  <si>
    <t>Sub</t>
  </si>
  <si>
    <t>Cost</t>
  </si>
  <si>
    <t>$</t>
  </si>
  <si>
    <t>%</t>
  </si>
  <si>
    <t>13450</t>
  </si>
  <si>
    <t>03</t>
  </si>
  <si>
    <t>Annual Leave</t>
  </si>
  <si>
    <t>06</t>
  </si>
  <si>
    <t>Sick Leave</t>
  </si>
  <si>
    <t>09</t>
  </si>
  <si>
    <t>Disability  Leave- 75%</t>
  </si>
  <si>
    <t>12</t>
  </si>
  <si>
    <t>Disability  Leave- 50%</t>
  </si>
  <si>
    <t>15</t>
  </si>
  <si>
    <t>Personal Leave - Employee</t>
  </si>
  <si>
    <t>24</t>
  </si>
  <si>
    <t>Holiday Leave</t>
  </si>
  <si>
    <t>Comp Leave</t>
  </si>
  <si>
    <t>93</t>
  </si>
  <si>
    <t>Bereavement Leave</t>
  </si>
  <si>
    <t>96</t>
  </si>
  <si>
    <t>Jury Duty Leave</t>
  </si>
  <si>
    <t>99</t>
  </si>
  <si>
    <t>Military Leave</t>
  </si>
  <si>
    <t>Sub-total leave related benefits</t>
  </si>
  <si>
    <t>Adj. to Annual merit/pay increase</t>
  </si>
  <si>
    <t>Adj. to Sick merit/pay increase</t>
  </si>
  <si>
    <t>27</t>
  </si>
  <si>
    <t>Medicare</t>
  </si>
  <si>
    <t>30</t>
  </si>
  <si>
    <t>Workers Compensation</t>
  </si>
  <si>
    <t>39</t>
  </si>
  <si>
    <t xml:space="preserve">Retirement </t>
  </si>
  <si>
    <t>42</t>
  </si>
  <si>
    <t>Unemployment Comp</t>
  </si>
  <si>
    <t>45</t>
  </si>
  <si>
    <t>Dental Insurance</t>
  </si>
  <si>
    <t>48</t>
  </si>
  <si>
    <t>Medical Insurance</t>
  </si>
  <si>
    <t>51</t>
  </si>
  <si>
    <t>Medical Insurance - Retired</t>
  </si>
  <si>
    <t>OPEB - Funded</t>
  </si>
  <si>
    <t>54</t>
  </si>
  <si>
    <t>Vision Insurance</t>
  </si>
  <si>
    <t>57</t>
  </si>
  <si>
    <t>Life Insurance &amp; LTD</t>
  </si>
  <si>
    <t>60</t>
  </si>
  <si>
    <t>401K Contribution</t>
  </si>
  <si>
    <t>63</t>
  </si>
  <si>
    <t>Long-Term Disability Ins</t>
  </si>
  <si>
    <t>Sub-total non-leave benefits</t>
  </si>
  <si>
    <t>OPEB - Unfunded</t>
  </si>
  <si>
    <t>Labor costs - incl. ST portion of Comp and OT</t>
  </si>
  <si>
    <t>Labor costs</t>
  </si>
  <si>
    <t>Reg + temps</t>
  </si>
  <si>
    <t>Annual leave</t>
  </si>
  <si>
    <t>Sick leave</t>
  </si>
  <si>
    <r>
      <t>Disability leave</t>
    </r>
    <r>
      <rPr>
        <b/>
        <sz val="12"/>
        <rFont val="Times New Roman"/>
        <family val="1"/>
      </rPr>
      <t>s</t>
    </r>
  </si>
  <si>
    <t xml:space="preserve">Personal </t>
  </si>
  <si>
    <t>Holiday</t>
  </si>
  <si>
    <t>Comp leave</t>
  </si>
  <si>
    <t>Bereavement</t>
  </si>
  <si>
    <t>Jury duty</t>
  </si>
  <si>
    <t>Military leave</t>
  </si>
  <si>
    <t>FY14 labor est</t>
  </si>
  <si>
    <t>Both Reg&amp;Temp</t>
  </si>
  <si>
    <t>FY13 labor</t>
  </si>
  <si>
    <t>FY12 labor est</t>
  </si>
  <si>
    <t>FY14 Labor Budget</t>
  </si>
  <si>
    <t>% labor est to labor budget</t>
  </si>
  <si>
    <t>FTE Calculated</t>
  </si>
</sst>
</file>

<file path=xl/styles.xml><?xml version="1.0" encoding="utf-8"?>
<styleSheet xmlns="http://schemas.openxmlformats.org/spreadsheetml/2006/main">
  <numFmts count="4">
    <numFmt numFmtId="43" formatCode="_(* #,##0.00_);_(* \(#,##0.00\);_(* &quot;-&quot;??_);_(@_)"/>
    <numFmt numFmtId="164" formatCode="_(* #,##0_);_(* \(#,##0\);_(* &quot;-&quot;??_);_(@_)"/>
    <numFmt numFmtId="165" formatCode="0.00%;\(0.00%\)"/>
    <numFmt numFmtId="166" formatCode="_(* #,##0.0_);_(* \(#,##0.0\);_(* &quot;-&quot;??_);_(@_)"/>
  </numFmts>
  <fonts count="13">
    <font>
      <sz val="11"/>
      <color theme="1"/>
      <name val="Calibri"/>
      <family val="2"/>
      <scheme val="minor"/>
    </font>
    <font>
      <sz val="12"/>
      <name val="Times New Roman"/>
      <family val="1"/>
    </font>
    <font>
      <b/>
      <sz val="12"/>
      <name val="Times New Roman"/>
      <family val="1"/>
    </font>
    <font>
      <sz val="10"/>
      <name val="Times New Roman"/>
      <family val="1"/>
    </font>
    <font>
      <i/>
      <sz val="12"/>
      <name val="Times New Roman"/>
      <family val="1"/>
    </font>
    <font>
      <b/>
      <sz val="7"/>
      <name val="Times New Roman"/>
      <family val="1"/>
    </font>
    <font>
      <sz val="12"/>
      <color rgb="FFFF0000"/>
      <name val="Times New Roman"/>
      <family val="1"/>
    </font>
    <font>
      <sz val="8"/>
      <name val="Times New Roman"/>
      <family val="1"/>
    </font>
    <font>
      <b/>
      <u/>
      <sz val="12"/>
      <name val="Times New Roman"/>
      <family val="1"/>
    </font>
    <font>
      <b/>
      <sz val="8"/>
      <color rgb="FF000000"/>
      <name val="Tahoma"/>
      <family val="2"/>
    </font>
    <font>
      <sz val="8"/>
      <color rgb="FF000000"/>
      <name val="Tahoma"/>
      <family val="2"/>
    </font>
    <font>
      <b/>
      <sz val="9"/>
      <color rgb="FF000000"/>
      <name val="Tahoma"/>
      <family val="2"/>
    </font>
    <font>
      <sz val="9"/>
      <color rgb="FF000000"/>
      <name val="Tahoma"/>
      <family val="2"/>
    </font>
  </fonts>
  <fills count="8">
    <fill>
      <patternFill patternType="none"/>
    </fill>
    <fill>
      <patternFill patternType="gray125"/>
    </fill>
    <fill>
      <patternFill patternType="solid">
        <fgColor rgb="FFCCFFFF"/>
        <bgColor rgb="FF000000"/>
      </patternFill>
    </fill>
    <fill>
      <patternFill patternType="solid">
        <fgColor rgb="FFFFFF99"/>
        <bgColor rgb="FF000000"/>
      </patternFill>
    </fill>
    <fill>
      <patternFill patternType="solid">
        <fgColor rgb="FFFFCCFF"/>
        <bgColor rgb="FF000000"/>
      </patternFill>
    </fill>
    <fill>
      <patternFill patternType="solid">
        <fgColor rgb="FFE6B8B7"/>
        <bgColor rgb="FF000000"/>
      </patternFill>
    </fill>
    <fill>
      <patternFill patternType="solid">
        <fgColor rgb="FFE6B9B8"/>
        <bgColor rgb="FF000000"/>
      </patternFill>
    </fill>
    <fill>
      <patternFill patternType="solid">
        <fgColor rgb="FFFFFFFF"/>
        <bgColor rgb="FF000000"/>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7">
    <xf numFmtId="0" fontId="0" fillId="0" borderId="0"/>
    <xf numFmtId="0" fontId="1"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cellStyleXfs>
  <cellXfs count="99">
    <xf numFmtId="0" fontId="0" fillId="0" borderId="0" xfId="0"/>
    <xf numFmtId="0" fontId="2" fillId="0" borderId="0" xfId="1" applyFont="1" applyFill="1" applyBorder="1"/>
    <xf numFmtId="0" fontId="1" fillId="0" borderId="0" xfId="1" applyFont="1" applyFill="1" applyBorder="1"/>
    <xf numFmtId="0" fontId="1" fillId="0" borderId="0" xfId="2" applyFont="1" applyFill="1" applyBorder="1"/>
    <xf numFmtId="164" fontId="1" fillId="0" borderId="0" xfId="3" applyNumberFormat="1" applyFont="1" applyFill="1" applyBorder="1"/>
    <xf numFmtId="0" fontId="1" fillId="0" borderId="0" xfId="4" applyFont="1" applyFill="1" applyBorder="1"/>
    <xf numFmtId="0" fontId="4" fillId="0" borderId="0" xfId="4" applyFont="1" applyFill="1" applyBorder="1"/>
    <xf numFmtId="0" fontId="2" fillId="0" borderId="0" xfId="4" applyFont="1" applyFill="1" applyBorder="1" applyAlignment="1"/>
    <xf numFmtId="0" fontId="1" fillId="0" borderId="4" xfId="2" applyFont="1" applyFill="1" applyBorder="1" applyAlignment="1">
      <alignment horizontal="center"/>
    </xf>
    <xf numFmtId="0" fontId="1" fillId="0" borderId="0" xfId="2" applyFont="1" applyFill="1" applyBorder="1" applyAlignment="1">
      <alignment horizontal="center"/>
    </xf>
    <xf numFmtId="0" fontId="1" fillId="0" borderId="5" xfId="2" applyFont="1" applyFill="1" applyBorder="1" applyAlignment="1">
      <alignment horizontal="center" shrinkToFit="1"/>
    </xf>
    <xf numFmtId="164" fontId="1" fillId="0" borderId="4" xfId="2" applyNumberFormat="1" applyFont="1" applyFill="1" applyBorder="1"/>
    <xf numFmtId="164" fontId="1" fillId="0" borderId="5" xfId="2" applyNumberFormat="1" applyFont="1" applyFill="1" applyBorder="1"/>
    <xf numFmtId="164" fontId="1" fillId="0" borderId="6" xfId="3" applyNumberFormat="1" applyFont="1" applyFill="1" applyBorder="1"/>
    <xf numFmtId="164" fontId="1" fillId="3" borderId="7" xfId="3" applyNumberFormat="1" applyFont="1" applyFill="1" applyBorder="1"/>
    <xf numFmtId="0" fontId="5" fillId="0" borderId="0" xfId="2" quotePrefix="1" applyFont="1" applyFill="1" applyBorder="1"/>
    <xf numFmtId="0" fontId="1" fillId="0" borderId="8" xfId="2" applyFont="1" applyFill="1" applyBorder="1" applyAlignment="1">
      <alignment horizontal="center"/>
    </xf>
    <xf numFmtId="0" fontId="1" fillId="0" borderId="9" xfId="2" applyFont="1" applyFill="1" applyBorder="1" applyAlignment="1">
      <alignment horizontal="center"/>
    </xf>
    <xf numFmtId="164" fontId="1" fillId="4" borderId="8" xfId="3" applyNumberFormat="1" applyFont="1" applyFill="1" applyBorder="1" applyAlignment="1">
      <alignment horizontal="center"/>
    </xf>
    <xf numFmtId="164" fontId="1" fillId="3" borderId="10" xfId="3" applyNumberFormat="1" applyFont="1" applyFill="1" applyBorder="1" applyAlignment="1">
      <alignment horizontal="center"/>
    </xf>
    <xf numFmtId="0" fontId="2" fillId="0" borderId="9" xfId="2" applyFont="1" applyFill="1" applyBorder="1" applyAlignment="1">
      <alignment horizontal="center"/>
    </xf>
    <xf numFmtId="0" fontId="2" fillId="0" borderId="10" xfId="2" applyFont="1" applyFill="1" applyBorder="1" applyAlignment="1">
      <alignment horizontal="center"/>
    </xf>
    <xf numFmtId="0" fontId="2" fillId="0" borderId="0" xfId="2" applyFont="1" applyFill="1" applyBorder="1" applyAlignment="1">
      <alignment horizontal="center"/>
    </xf>
    <xf numFmtId="164" fontId="1" fillId="0" borderId="8" xfId="3" applyNumberFormat="1" applyFont="1" applyFill="1" applyBorder="1" applyAlignment="1">
      <alignment horizontal="center"/>
    </xf>
    <xf numFmtId="164" fontId="1" fillId="5" borderId="6" xfId="5" applyNumberFormat="1" applyFont="1" applyFill="1" applyBorder="1"/>
    <xf numFmtId="10" fontId="1" fillId="0" borderId="0" xfId="6" applyNumberFormat="1" applyFont="1" applyFill="1" applyBorder="1"/>
    <xf numFmtId="10" fontId="1" fillId="0" borderId="5" xfId="6" applyNumberFormat="1" applyFont="1" applyFill="1" applyBorder="1"/>
    <xf numFmtId="165" fontId="1" fillId="0" borderId="5" xfId="6" applyNumberFormat="1" applyFont="1" applyFill="1" applyBorder="1"/>
    <xf numFmtId="164" fontId="1" fillId="0" borderId="4" xfId="3" applyNumberFormat="1" applyFont="1" applyFill="1" applyBorder="1"/>
    <xf numFmtId="164" fontId="1" fillId="5" borderId="4" xfId="5" applyNumberFormat="1" applyFont="1" applyFill="1" applyBorder="1"/>
    <xf numFmtId="164" fontId="6" fillId="5" borderId="4" xfId="3" applyNumberFormat="1" applyFont="1" applyFill="1" applyBorder="1"/>
    <xf numFmtId="164" fontId="1" fillId="5" borderId="4" xfId="3" applyNumberFormat="1" applyFont="1" applyFill="1" applyBorder="1"/>
    <xf numFmtId="10" fontId="1" fillId="3" borderId="0" xfId="6" applyNumberFormat="1" applyFont="1" applyFill="1" applyBorder="1"/>
    <xf numFmtId="10" fontId="1" fillId="3" borderId="5" xfId="6" applyNumberFormat="1" applyFont="1" applyFill="1" applyBorder="1"/>
    <xf numFmtId="164" fontId="1" fillId="3" borderId="4" xfId="2" applyNumberFormat="1" applyFont="1" applyFill="1" applyBorder="1"/>
    <xf numFmtId="165" fontId="1" fillId="3" borderId="5" xfId="6" applyNumberFormat="1" applyFont="1" applyFill="1" applyBorder="1"/>
    <xf numFmtId="164" fontId="1" fillId="3" borderId="4" xfId="3" applyNumberFormat="1" applyFont="1" applyFill="1" applyBorder="1"/>
    <xf numFmtId="164" fontId="1" fillId="5" borderId="9" xfId="3" applyNumberFormat="1" applyFont="1" applyFill="1" applyBorder="1"/>
    <xf numFmtId="10" fontId="1" fillId="0" borderId="8" xfId="6" applyNumberFormat="1" applyFont="1" applyFill="1" applyBorder="1"/>
    <xf numFmtId="10" fontId="1" fillId="0" borderId="10" xfId="6" applyNumberFormat="1" applyFont="1" applyFill="1" applyBorder="1"/>
    <xf numFmtId="164" fontId="1" fillId="0" borderId="9" xfId="2" applyNumberFormat="1" applyFont="1" applyFill="1" applyBorder="1"/>
    <xf numFmtId="165" fontId="1" fillId="0" borderId="10" xfId="6" applyNumberFormat="1" applyFont="1" applyFill="1" applyBorder="1"/>
    <xf numFmtId="164" fontId="1" fillId="0" borderId="9" xfId="3" applyNumberFormat="1" applyFont="1" applyFill="1" applyBorder="1"/>
    <xf numFmtId="0" fontId="1" fillId="0" borderId="0" xfId="2" applyFont="1" applyFill="1" applyBorder="1" applyAlignment="1">
      <alignment horizontal="centerContinuous"/>
    </xf>
    <xf numFmtId="0" fontId="1" fillId="0" borderId="0" xfId="2" applyFont="1" applyFill="1" applyBorder="1" applyAlignment="1">
      <alignment horizontal="left"/>
    </xf>
    <xf numFmtId="10" fontId="1" fillId="0" borderId="5" xfId="3" applyNumberFormat="1" applyFont="1" applyFill="1" applyBorder="1"/>
    <xf numFmtId="165" fontId="1" fillId="0" borderId="7" xfId="6" applyNumberFormat="1" applyFont="1" applyFill="1" applyBorder="1"/>
    <xf numFmtId="164" fontId="7" fillId="0" borderId="0" xfId="3" applyNumberFormat="1" applyFont="1" applyFill="1" applyBorder="1"/>
    <xf numFmtId="0" fontId="1" fillId="0" borderId="4" xfId="2" applyFont="1" applyFill="1" applyBorder="1"/>
    <xf numFmtId="0" fontId="1" fillId="0" borderId="5" xfId="2" applyFont="1" applyFill="1" applyBorder="1"/>
    <xf numFmtId="0" fontId="1" fillId="0" borderId="0" xfId="2" applyFont="1" applyFill="1" applyBorder="1" applyAlignment="1">
      <alignment horizontal="right"/>
    </xf>
    <xf numFmtId="164" fontId="1" fillId="6" borderId="4" xfId="3" applyNumberFormat="1" applyFont="1" applyFill="1" applyBorder="1"/>
    <xf numFmtId="164" fontId="1" fillId="4" borderId="4" xfId="3" applyNumberFormat="1" applyFont="1" applyFill="1" applyBorder="1"/>
    <xf numFmtId="164" fontId="4" fillId="0" borderId="9" xfId="3" applyNumberFormat="1" applyFont="1" applyFill="1" applyBorder="1"/>
    <xf numFmtId="10" fontId="1" fillId="0" borderId="0" xfId="6" applyNumberFormat="1" applyFont="1" applyFill="1" applyBorder="1" applyAlignment="1"/>
    <xf numFmtId="10" fontId="1" fillId="0" borderId="7" xfId="6" applyNumberFormat="1" applyFont="1" applyFill="1" applyBorder="1"/>
    <xf numFmtId="10" fontId="1" fillId="0" borderId="0" xfId="2" applyNumberFormat="1" applyFont="1" applyFill="1" applyBorder="1"/>
    <xf numFmtId="10" fontId="1" fillId="0" borderId="5" xfId="2" applyNumberFormat="1" applyFont="1" applyFill="1" applyBorder="1"/>
    <xf numFmtId="43" fontId="1" fillId="0" borderId="0" xfId="3" applyFont="1" applyFill="1" applyBorder="1"/>
    <xf numFmtId="164" fontId="6" fillId="4" borderId="9" xfId="2" applyNumberFormat="1" applyFont="1" applyFill="1" applyBorder="1"/>
    <xf numFmtId="164" fontId="1" fillId="7" borderId="9" xfId="3" applyNumberFormat="1" applyFont="1" applyFill="1" applyBorder="1"/>
    <xf numFmtId="10" fontId="1" fillId="7" borderId="10" xfId="6" applyNumberFormat="1" applyFont="1" applyFill="1" applyBorder="1"/>
    <xf numFmtId="164" fontId="1" fillId="0" borderId="6" xfId="2" applyNumberFormat="1" applyFont="1" applyFill="1" applyBorder="1"/>
    <xf numFmtId="164" fontId="1" fillId="7" borderId="4" xfId="2" applyNumberFormat="1" applyFont="1" applyFill="1" applyBorder="1"/>
    <xf numFmtId="10" fontId="1" fillId="7" borderId="5" xfId="6" applyNumberFormat="1" applyFont="1" applyFill="1" applyBorder="1"/>
    <xf numFmtId="0" fontId="1" fillId="0" borderId="9" xfId="2" applyFont="1" applyFill="1" applyBorder="1"/>
    <xf numFmtId="0" fontId="1" fillId="0" borderId="10" xfId="2" applyFont="1" applyFill="1" applyBorder="1"/>
    <xf numFmtId="0" fontId="1" fillId="7" borderId="4" xfId="2" applyFont="1" applyFill="1" applyBorder="1"/>
    <xf numFmtId="0" fontId="1" fillId="7" borderId="10" xfId="2" applyFont="1" applyFill="1" applyBorder="1"/>
    <xf numFmtId="0" fontId="2" fillId="0" borderId="0" xfId="2" applyFont="1" applyFill="1" applyBorder="1"/>
    <xf numFmtId="0" fontId="2" fillId="0" borderId="0" xfId="2" applyFont="1" applyFill="1" applyBorder="1" applyAlignment="1">
      <alignment horizontal="right"/>
    </xf>
    <xf numFmtId="164" fontId="2" fillId="2" borderId="11" xfId="2" applyNumberFormat="1" applyFont="1" applyFill="1" applyBorder="1"/>
    <xf numFmtId="10" fontId="2" fillId="2" borderId="12" xfId="6" applyNumberFormat="1" applyFont="1" applyFill="1" applyBorder="1"/>
    <xf numFmtId="10" fontId="2" fillId="2" borderId="13" xfId="6" applyNumberFormat="1" applyFont="1" applyFill="1" applyBorder="1"/>
    <xf numFmtId="165" fontId="2" fillId="2" borderId="14" xfId="6" applyNumberFormat="1" applyFont="1" applyFill="1" applyBorder="1"/>
    <xf numFmtId="10" fontId="5" fillId="0" borderId="0" xfId="2" quotePrefix="1" applyNumberFormat="1" applyFont="1" applyFill="1" applyBorder="1"/>
    <xf numFmtId="164" fontId="2" fillId="0" borderId="0" xfId="2" applyNumberFormat="1" applyFont="1" applyFill="1" applyBorder="1"/>
    <xf numFmtId="10" fontId="2" fillId="0" borderId="0" xfId="2" applyNumberFormat="1" applyFont="1" applyFill="1" applyBorder="1"/>
    <xf numFmtId="9" fontId="7" fillId="0" borderId="0" xfId="2" applyNumberFormat="1" applyFont="1" applyFill="1" applyBorder="1"/>
    <xf numFmtId="43" fontId="2" fillId="0" borderId="0" xfId="5" applyFont="1" applyFill="1" applyBorder="1"/>
    <xf numFmtId="0" fontId="8" fillId="0" borderId="0" xfId="2" applyFont="1" applyFill="1" applyBorder="1"/>
    <xf numFmtId="164" fontId="1" fillId="0" borderId="0" xfId="2" applyNumberFormat="1" applyFont="1" applyFill="1" applyBorder="1"/>
    <xf numFmtId="165" fontId="1" fillId="0" borderId="0" xfId="6" applyNumberFormat="1" applyFont="1" applyFill="1" applyBorder="1"/>
    <xf numFmtId="164" fontId="1" fillId="0" borderId="8" xfId="2" applyNumberFormat="1" applyFont="1" applyFill="1" applyBorder="1"/>
    <xf numFmtId="164" fontId="1" fillId="0" borderId="8" xfId="3" applyNumberFormat="1" applyFont="1" applyFill="1" applyBorder="1"/>
    <xf numFmtId="164" fontId="2" fillId="0" borderId="12" xfId="2" applyNumberFormat="1" applyFont="1" applyFill="1" applyBorder="1"/>
    <xf numFmtId="43" fontId="1" fillId="0" borderId="0" xfId="2" applyNumberFormat="1" applyFont="1" applyFill="1" applyBorder="1"/>
    <xf numFmtId="0" fontId="1" fillId="0" borderId="0" xfId="2" quotePrefix="1" applyFont="1" applyFill="1" applyBorder="1" applyAlignment="1">
      <alignment horizontal="right"/>
    </xf>
    <xf numFmtId="166" fontId="1" fillId="0" borderId="0" xfId="5" applyNumberFormat="1" applyFont="1" applyFill="1" applyBorder="1"/>
    <xf numFmtId="43" fontId="2" fillId="2" borderId="1" xfId="5" applyFont="1" applyFill="1" applyBorder="1" applyAlignment="1">
      <alignment horizontal="center"/>
    </xf>
    <xf numFmtId="43" fontId="2" fillId="2" borderId="2" xfId="5" applyFont="1" applyFill="1" applyBorder="1" applyAlignment="1">
      <alignment horizontal="center"/>
    </xf>
    <xf numFmtId="43" fontId="2" fillId="2" borderId="3" xfId="5" applyFont="1" applyFill="1" applyBorder="1" applyAlignment="1">
      <alignment horizontal="center"/>
    </xf>
    <xf numFmtId="0" fontId="1" fillId="0" borderId="1" xfId="2" applyFont="1" applyFill="1" applyBorder="1" applyAlignment="1">
      <alignment horizontal="center"/>
    </xf>
    <xf numFmtId="0" fontId="1" fillId="0" borderId="3" xfId="2" applyFont="1" applyFill="1" applyBorder="1" applyAlignment="1">
      <alignment horizontal="center"/>
    </xf>
    <xf numFmtId="0" fontId="2" fillId="2" borderId="1" xfId="4" applyFont="1" applyFill="1" applyBorder="1" applyAlignment="1">
      <alignment horizontal="center"/>
    </xf>
    <xf numFmtId="0" fontId="2" fillId="2" borderId="3" xfId="4" applyFont="1" applyFill="1" applyBorder="1" applyAlignment="1">
      <alignment horizontal="center"/>
    </xf>
    <xf numFmtId="43" fontId="2" fillId="2" borderId="1" xfId="3" applyFont="1" applyFill="1" applyBorder="1" applyAlignment="1">
      <alignment horizontal="center"/>
    </xf>
    <xf numFmtId="43" fontId="2" fillId="2" borderId="2" xfId="3" applyFont="1" applyFill="1" applyBorder="1" applyAlignment="1">
      <alignment horizontal="center"/>
    </xf>
    <xf numFmtId="43" fontId="2" fillId="2" borderId="3" xfId="3" applyFont="1" applyFill="1" applyBorder="1" applyAlignment="1">
      <alignment horizontal="center"/>
    </xf>
  </cellXfs>
  <cellStyles count="7">
    <cellStyle name="Comma 4 2" xfId="5"/>
    <cellStyle name="Comma 5" xfId="3"/>
    <cellStyle name="Normal" xfId="0" builtinId="0"/>
    <cellStyle name="Normal_Additive Calc 2003_rev PERS Med Ins 2" xfId="2"/>
    <cellStyle name="Normal_Additive Calc 2003_rev PERS Med Ins 3" xfId="4"/>
    <cellStyle name="Normal_TD_FY03 payroll additive" xfId="1"/>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S55"/>
  <sheetViews>
    <sheetView tabSelected="1" workbookViewId="0">
      <selection activeCell="I35" sqref="I35"/>
    </sheetView>
  </sheetViews>
  <sheetFormatPr defaultColWidth="8" defaultRowHeight="15.75"/>
  <cols>
    <col min="1" max="2" width="8" style="3"/>
    <col min="3" max="3" width="26.140625" style="3" bestFit="1" customWidth="1"/>
    <col min="4" max="4" width="15.140625" style="3" customWidth="1"/>
    <col min="5" max="5" width="14.85546875" style="3" bestFit="1" customWidth="1"/>
    <col min="6" max="6" width="15" style="3" customWidth="1"/>
    <col min="7" max="7" width="2.85546875" style="3" customWidth="1"/>
    <col min="8" max="8" width="13.140625" style="3" customWidth="1"/>
    <col min="9" max="9" width="13.7109375" style="3" customWidth="1"/>
    <col min="10" max="10" width="2.85546875" style="3" customWidth="1"/>
    <col min="11" max="11" width="15.42578125" style="3" customWidth="1"/>
    <col min="12" max="12" width="13.85546875" style="3" customWidth="1"/>
    <col min="13" max="13" width="2.85546875" style="3" customWidth="1"/>
    <col min="14" max="14" width="13.85546875" style="3" customWidth="1"/>
    <col min="15" max="15" width="14.28515625" style="3" customWidth="1"/>
    <col min="16" max="16" width="2.85546875" style="3" customWidth="1"/>
    <col min="17" max="17" width="15.140625" style="3" customWidth="1"/>
    <col min="18" max="18" width="14.85546875" style="3" bestFit="1" customWidth="1"/>
    <col min="19" max="19" width="15" style="3" customWidth="1"/>
    <col min="20" max="16384" width="8" style="3"/>
  </cols>
  <sheetData>
    <row r="1" spans="1:19">
      <c r="A1" s="1" t="s">
        <v>0</v>
      </c>
      <c r="B1" s="2"/>
      <c r="C1" s="2"/>
      <c r="D1" s="2"/>
      <c r="E1" s="2"/>
      <c r="F1" s="2"/>
      <c r="H1" s="2"/>
      <c r="K1" s="2"/>
      <c r="L1" s="2"/>
      <c r="M1" s="2"/>
      <c r="N1" s="2"/>
      <c r="Q1" s="2"/>
      <c r="R1" s="2"/>
      <c r="S1" s="2"/>
    </row>
    <row r="2" spans="1:19">
      <c r="A2" s="1" t="s">
        <v>1</v>
      </c>
      <c r="B2" s="2"/>
      <c r="C2" s="2"/>
      <c r="D2" s="2"/>
      <c r="E2" s="2"/>
      <c r="F2" s="2"/>
      <c r="H2" s="2"/>
      <c r="K2" s="4"/>
      <c r="L2" s="2"/>
      <c r="M2" s="2"/>
      <c r="N2" s="2"/>
      <c r="Q2" s="2"/>
      <c r="R2" s="2"/>
      <c r="S2" s="2"/>
    </row>
    <row r="3" spans="1:19" s="5" customFormat="1" ht="16.5" thickBot="1">
      <c r="A3" s="1" t="s">
        <v>2</v>
      </c>
      <c r="B3" s="2"/>
      <c r="C3" s="2"/>
      <c r="D3" s="2" t="s">
        <v>3</v>
      </c>
      <c r="E3" s="2"/>
      <c r="F3" s="2"/>
      <c r="K3" s="2"/>
      <c r="L3" s="2"/>
      <c r="M3" s="2"/>
      <c r="Q3" s="2" t="s">
        <v>3</v>
      </c>
      <c r="R3" s="2"/>
      <c r="S3" s="2"/>
    </row>
    <row r="4" spans="1:19" s="5" customFormat="1">
      <c r="A4" s="6"/>
      <c r="D4" s="89" t="s">
        <v>4</v>
      </c>
      <c r="E4" s="90"/>
      <c r="F4" s="91"/>
      <c r="H4" s="92" t="s">
        <v>5</v>
      </c>
      <c r="I4" s="93"/>
      <c r="K4" s="94" t="s">
        <v>6</v>
      </c>
      <c r="L4" s="95"/>
      <c r="M4" s="7"/>
      <c r="N4" s="92" t="s">
        <v>7</v>
      </c>
      <c r="O4" s="93"/>
      <c r="Q4" s="96" t="s">
        <v>8</v>
      </c>
      <c r="R4" s="97"/>
      <c r="S4" s="98"/>
    </row>
    <row r="5" spans="1:19">
      <c r="D5" s="8" t="s">
        <v>9</v>
      </c>
      <c r="E5" s="9" t="s">
        <v>10</v>
      </c>
      <c r="F5" s="10" t="s">
        <v>11</v>
      </c>
      <c r="H5" s="11" t="e">
        <f>E6-K5</f>
        <v>#REF!</v>
      </c>
      <c r="I5" s="12" t="e">
        <f>F6-L5</f>
        <v>#REF!</v>
      </c>
      <c r="K5" s="13" t="e">
        <f>+#REF!</f>
        <v>#REF!</v>
      </c>
      <c r="L5" s="14" t="e">
        <f>+#REF!+#REF!</f>
        <v>#REF!</v>
      </c>
      <c r="M5" s="15"/>
      <c r="N5" s="11" t="e">
        <f>K5-R6</f>
        <v>#REF!</v>
      </c>
      <c r="O5" s="12" t="e">
        <f>L5-S6</f>
        <v>#REF!</v>
      </c>
      <c r="Q5" s="8" t="s">
        <v>9</v>
      </c>
      <c r="R5" s="9" t="s">
        <v>10</v>
      </c>
      <c r="S5" s="10" t="s">
        <v>11</v>
      </c>
    </row>
    <row r="6" spans="1:19">
      <c r="A6" s="16" t="s">
        <v>12</v>
      </c>
      <c r="B6" s="16" t="s">
        <v>13</v>
      </c>
      <c r="D6" s="17" t="s">
        <v>14</v>
      </c>
      <c r="E6" s="18" t="e">
        <f>+#REF!</f>
        <v>#REF!</v>
      </c>
      <c r="F6" s="19" t="e">
        <f>+#REF!</f>
        <v>#REF!</v>
      </c>
      <c r="H6" s="20" t="s">
        <v>15</v>
      </c>
      <c r="I6" s="21" t="s">
        <v>16</v>
      </c>
      <c r="K6" s="20" t="s">
        <v>15</v>
      </c>
      <c r="L6" s="21" t="s">
        <v>16</v>
      </c>
      <c r="M6" s="22"/>
      <c r="N6" s="20" t="s">
        <v>15</v>
      </c>
      <c r="O6" s="21" t="s">
        <v>16</v>
      </c>
      <c r="Q6" s="17" t="s">
        <v>14</v>
      </c>
      <c r="R6" s="23">
        <v>153954369.88392058</v>
      </c>
      <c r="S6" s="19">
        <v>155242551.7742539</v>
      </c>
    </row>
    <row r="7" spans="1:19">
      <c r="A7" s="9" t="s">
        <v>17</v>
      </c>
      <c r="B7" s="9" t="s">
        <v>18</v>
      </c>
      <c r="C7" s="3" t="s">
        <v>19</v>
      </c>
      <c r="D7" s="24" t="e">
        <f>+#REF!+#REF!+20</f>
        <v>#REF!</v>
      </c>
      <c r="E7" s="25" t="e">
        <f>+D7/$E$6</f>
        <v>#REF!</v>
      </c>
      <c r="F7" s="26"/>
      <c r="H7" s="11" t="e">
        <f t="shared" ref="H7:I16" si="0">+D7-K7</f>
        <v>#REF!</v>
      </c>
      <c r="I7" s="27" t="e">
        <f t="shared" si="0"/>
        <v>#REF!</v>
      </c>
      <c r="K7" s="28" t="e">
        <f>#REF!-#REF!</f>
        <v>#REF!</v>
      </c>
      <c r="L7" s="26" t="e">
        <f>+K7/$K$5</f>
        <v>#REF!</v>
      </c>
      <c r="M7" s="25"/>
      <c r="N7" s="11" t="e">
        <f t="shared" ref="N7:O16" si="1">+K7-Q7</f>
        <v>#REF!</v>
      </c>
      <c r="O7" s="27" t="e">
        <f t="shared" si="1"/>
        <v>#REF!</v>
      </c>
      <c r="Q7" s="28">
        <v>13205400.474301208</v>
      </c>
      <c r="R7" s="25">
        <v>8.5774768746466196E-2</v>
      </c>
      <c r="S7" s="26"/>
    </row>
    <row r="8" spans="1:19">
      <c r="A8" s="9" t="s">
        <v>17</v>
      </c>
      <c r="B8" s="9" t="s">
        <v>20</v>
      </c>
      <c r="C8" s="3" t="s">
        <v>21</v>
      </c>
      <c r="D8" s="29" t="e">
        <f>+#REF!+#REF!+39</f>
        <v>#REF!</v>
      </c>
      <c r="E8" s="25" t="e">
        <f>+D8/$E$6</f>
        <v>#REF!</v>
      </c>
      <c r="F8" s="26"/>
      <c r="H8" s="11" t="e">
        <f t="shared" si="0"/>
        <v>#REF!</v>
      </c>
      <c r="I8" s="27" t="e">
        <f t="shared" si="0"/>
        <v>#REF!</v>
      </c>
      <c r="K8" s="28" t="e">
        <f>#REF!-#REF!+#REF!</f>
        <v>#REF!</v>
      </c>
      <c r="L8" s="26" t="e">
        <f t="shared" ref="L8:L16" si="2">+K8/$K$5</f>
        <v>#REF!</v>
      </c>
      <c r="M8" s="25"/>
      <c r="N8" s="11" t="e">
        <f t="shared" si="1"/>
        <v>#REF!</v>
      </c>
      <c r="O8" s="27" t="e">
        <f t="shared" si="1"/>
        <v>#REF!</v>
      </c>
      <c r="Q8" s="28">
        <v>6834900.4133789614</v>
      </c>
      <c r="R8" s="25">
        <v>4.4395624616127359E-2</v>
      </c>
      <c r="S8" s="26"/>
    </row>
    <row r="9" spans="1:19">
      <c r="A9" s="9" t="s">
        <v>17</v>
      </c>
      <c r="B9" s="9" t="s">
        <v>22</v>
      </c>
      <c r="C9" s="3" t="s">
        <v>23</v>
      </c>
      <c r="D9" s="29" t="e">
        <f>+#REF!+26</f>
        <v>#REF!</v>
      </c>
      <c r="E9" s="25" t="e">
        <f>+D9/$E$6</f>
        <v>#REF!</v>
      </c>
      <c r="F9" s="26"/>
      <c r="H9" s="11" t="e">
        <f t="shared" si="0"/>
        <v>#REF!</v>
      </c>
      <c r="I9" s="27" t="e">
        <f t="shared" si="0"/>
        <v>#REF!</v>
      </c>
      <c r="K9" s="28" t="e">
        <f>#REF!-#REF!</f>
        <v>#REF!</v>
      </c>
      <c r="L9" s="26" t="e">
        <f t="shared" si="2"/>
        <v>#REF!</v>
      </c>
      <c r="M9" s="25"/>
      <c r="N9" s="11" t="e">
        <f t="shared" si="1"/>
        <v>#REF!</v>
      </c>
      <c r="O9" s="27" t="e">
        <f t="shared" si="1"/>
        <v>#REF!</v>
      </c>
      <c r="Q9" s="28">
        <v>415900.147</v>
      </c>
      <c r="R9" s="25">
        <v>2.7014507435780019E-3</v>
      </c>
      <c r="S9" s="26"/>
    </row>
    <row r="10" spans="1:19">
      <c r="A10" s="9" t="s">
        <v>17</v>
      </c>
      <c r="B10" s="9" t="s">
        <v>24</v>
      </c>
      <c r="C10" s="3" t="s">
        <v>25</v>
      </c>
      <c r="D10" s="29" t="e">
        <f>+#REF!-24</f>
        <v>#REF!</v>
      </c>
      <c r="E10" s="25" t="e">
        <f>+D10/$E$6</f>
        <v>#REF!</v>
      </c>
      <c r="F10" s="26"/>
      <c r="H10" s="11" t="e">
        <f t="shared" si="0"/>
        <v>#REF!</v>
      </c>
      <c r="I10" s="27" t="e">
        <f t="shared" si="0"/>
        <v>#REF!</v>
      </c>
      <c r="K10" s="28" t="e">
        <f>#REF!-#REF!</f>
        <v>#REF!</v>
      </c>
      <c r="L10" s="26" t="e">
        <f t="shared" si="2"/>
        <v>#REF!</v>
      </c>
      <c r="M10" s="25"/>
      <c r="N10" s="11" t="e">
        <f t="shared" si="1"/>
        <v>#REF!</v>
      </c>
      <c r="O10" s="27" t="e">
        <f t="shared" si="1"/>
        <v>#REF!</v>
      </c>
      <c r="Q10" s="28">
        <v>166600.44199999998</v>
      </c>
      <c r="R10" s="25">
        <v>1.0821416899410804E-3</v>
      </c>
      <c r="S10" s="26"/>
    </row>
    <row r="11" spans="1:19">
      <c r="A11" s="9" t="s">
        <v>17</v>
      </c>
      <c r="B11" s="9" t="s">
        <v>26</v>
      </c>
      <c r="C11" s="3" t="s">
        <v>27</v>
      </c>
      <c r="D11" s="30" t="e">
        <f>(#REF!)*#REF!*(1+#REF!+#REF!)*24+(#REF!*#REF!*24)-47</f>
        <v>#REF!</v>
      </c>
      <c r="E11" s="25" t="e">
        <f>+D11/$E$6</f>
        <v>#REF!</v>
      </c>
      <c r="F11" s="26"/>
      <c r="H11" s="11" t="e">
        <f t="shared" si="0"/>
        <v>#REF!</v>
      </c>
      <c r="I11" s="27" t="e">
        <f t="shared" si="0"/>
        <v>#REF!</v>
      </c>
      <c r="K11" s="28" t="e">
        <f>#REF!-#REF!</f>
        <v>#REF!</v>
      </c>
      <c r="L11" s="26" t="e">
        <f t="shared" si="2"/>
        <v>#REF!</v>
      </c>
      <c r="M11" s="25"/>
      <c r="N11" s="11" t="e">
        <f t="shared" si="1"/>
        <v>#REF!</v>
      </c>
      <c r="O11" s="27" t="e">
        <f t="shared" si="1"/>
        <v>#REF!</v>
      </c>
      <c r="Q11" s="28">
        <v>2208999.9451106093</v>
      </c>
      <c r="R11" s="25">
        <v>1.4348406912880512E-2</v>
      </c>
      <c r="S11" s="26"/>
    </row>
    <row r="12" spans="1:19">
      <c r="A12" s="9" t="s">
        <v>17</v>
      </c>
      <c r="B12" s="9" t="s">
        <v>28</v>
      </c>
      <c r="C12" s="3" t="s">
        <v>29</v>
      </c>
      <c r="D12" s="31" t="e">
        <f>751386.24*(1+#REF!+#REF!)*14+10</f>
        <v>#REF!</v>
      </c>
      <c r="E12" s="32" t="e">
        <f>+D12/$F$6</f>
        <v>#REF!</v>
      </c>
      <c r="F12" s="33" t="e">
        <f>+D12/$F$6</f>
        <v>#REF!</v>
      </c>
      <c r="H12" s="34" t="e">
        <f t="shared" si="0"/>
        <v>#REF!</v>
      </c>
      <c r="I12" s="35" t="e">
        <f t="shared" si="0"/>
        <v>#REF!</v>
      </c>
      <c r="K12" s="36" t="e">
        <f>#REF!-#REF!</f>
        <v>#REF!</v>
      </c>
      <c r="L12" s="33" t="e">
        <f>+K12/$L$5</f>
        <v>#REF!</v>
      </c>
      <c r="M12" s="25"/>
      <c r="N12" s="34" t="e">
        <f t="shared" si="1"/>
        <v>#REF!</v>
      </c>
      <c r="O12" s="35" t="e">
        <f t="shared" si="1"/>
        <v>#REF!</v>
      </c>
      <c r="Q12" s="36">
        <v>10507799.964000003</v>
      </c>
      <c r="R12" s="32">
        <v>6.7686338854310579E-2</v>
      </c>
      <c r="S12" s="33">
        <f>+Q12/$S$6</f>
        <v>6.7686338854310579E-2</v>
      </c>
    </row>
    <row r="13" spans="1:19">
      <c r="A13" s="9" t="s">
        <v>17</v>
      </c>
      <c r="B13" s="9">
        <v>67</v>
      </c>
      <c r="C13" s="3" t="s">
        <v>30</v>
      </c>
      <c r="D13" s="31" t="e">
        <f>+#REF!-11</f>
        <v>#REF!</v>
      </c>
      <c r="E13" s="25" t="e">
        <f>+D13/$E$6</f>
        <v>#REF!</v>
      </c>
      <c r="F13" s="26"/>
      <c r="H13" s="11" t="e">
        <f t="shared" si="0"/>
        <v>#REF!</v>
      </c>
      <c r="I13" s="27" t="e">
        <f t="shared" si="0"/>
        <v>#REF!</v>
      </c>
      <c r="K13" s="28" t="e">
        <f>#REF!-#REF!</f>
        <v>#REF!</v>
      </c>
      <c r="L13" s="26" t="e">
        <f t="shared" si="2"/>
        <v>#REF!</v>
      </c>
      <c r="M13" s="25"/>
      <c r="N13" s="11" t="e">
        <f t="shared" si="1"/>
        <v>#REF!</v>
      </c>
      <c r="O13" s="27" t="e">
        <f t="shared" si="1"/>
        <v>#REF!</v>
      </c>
      <c r="Q13" s="28">
        <v>4800.1300000000774</v>
      </c>
      <c r="R13" s="25">
        <v>3.1178913619790768E-5</v>
      </c>
      <c r="S13" s="26"/>
    </row>
    <row r="14" spans="1:19">
      <c r="A14" s="9" t="s">
        <v>17</v>
      </c>
      <c r="B14" s="9" t="s">
        <v>31</v>
      </c>
      <c r="C14" s="3" t="s">
        <v>32</v>
      </c>
      <c r="D14" s="31" t="e">
        <f>+#REF!+2</f>
        <v>#REF!</v>
      </c>
      <c r="E14" s="25" t="e">
        <f>+D14/$E$6</f>
        <v>#REF!</v>
      </c>
      <c r="F14" s="26"/>
      <c r="H14" s="11" t="e">
        <f t="shared" si="0"/>
        <v>#REF!</v>
      </c>
      <c r="I14" s="27" t="e">
        <f t="shared" si="0"/>
        <v>#REF!</v>
      </c>
      <c r="K14" s="28" t="e">
        <f>#REF!-#REF!</f>
        <v>#REF!</v>
      </c>
      <c r="L14" s="26" t="e">
        <f t="shared" si="2"/>
        <v>#REF!</v>
      </c>
      <c r="M14" s="25"/>
      <c r="N14" s="11" t="e">
        <f t="shared" si="1"/>
        <v>#REF!</v>
      </c>
      <c r="O14" s="27" t="e">
        <f t="shared" si="1"/>
        <v>#REF!</v>
      </c>
      <c r="Q14" s="28">
        <v>427500.11333333334</v>
      </c>
      <c r="R14" s="25">
        <v>2.7767975254983823E-3</v>
      </c>
      <c r="S14" s="26"/>
    </row>
    <row r="15" spans="1:19">
      <c r="A15" s="9" t="s">
        <v>17</v>
      </c>
      <c r="B15" s="9" t="s">
        <v>33</v>
      </c>
      <c r="C15" s="3" t="s">
        <v>34</v>
      </c>
      <c r="D15" s="31" t="e">
        <f>+#REF!-5</f>
        <v>#REF!</v>
      </c>
      <c r="E15" s="25" t="e">
        <f>+D15/$E$6</f>
        <v>#REF!</v>
      </c>
      <c r="F15" s="26"/>
      <c r="H15" s="11" t="e">
        <f t="shared" si="0"/>
        <v>#REF!</v>
      </c>
      <c r="I15" s="27" t="e">
        <f t="shared" si="0"/>
        <v>#REF!</v>
      </c>
      <c r="K15" s="28" t="e">
        <f>#REF!-#REF!</f>
        <v>#REF!</v>
      </c>
      <c r="L15" s="26" t="e">
        <f t="shared" si="2"/>
        <v>#REF!</v>
      </c>
      <c r="M15" s="25"/>
      <c r="N15" s="11" t="e">
        <f t="shared" si="1"/>
        <v>#REF!</v>
      </c>
      <c r="O15" s="27" t="e">
        <f t="shared" si="1"/>
        <v>#REF!</v>
      </c>
      <c r="Q15" s="28">
        <v>273399.73</v>
      </c>
      <c r="R15" s="25">
        <v>1.7758491052000636E-3</v>
      </c>
      <c r="S15" s="26"/>
    </row>
    <row r="16" spans="1:19">
      <c r="A16" s="9" t="s">
        <v>17</v>
      </c>
      <c r="B16" s="9" t="s">
        <v>35</v>
      </c>
      <c r="C16" s="3" t="s">
        <v>36</v>
      </c>
      <c r="D16" s="37" t="e">
        <f>+#REF!-13</f>
        <v>#REF!</v>
      </c>
      <c r="E16" s="38" t="e">
        <f>+D16/$E$6</f>
        <v>#REF!</v>
      </c>
      <c r="F16" s="39"/>
      <c r="H16" s="40" t="e">
        <f t="shared" si="0"/>
        <v>#REF!</v>
      </c>
      <c r="I16" s="41" t="e">
        <f t="shared" si="0"/>
        <v>#REF!</v>
      </c>
      <c r="K16" s="42" t="e">
        <f>#REF!-#REF!</f>
        <v>#REF!</v>
      </c>
      <c r="L16" s="39" t="e">
        <f t="shared" si="2"/>
        <v>#REF!</v>
      </c>
      <c r="M16" s="25"/>
      <c r="N16" s="40" t="e">
        <f t="shared" si="1"/>
        <v>#REF!</v>
      </c>
      <c r="O16" s="41" t="e">
        <f t="shared" si="1"/>
        <v>#REF!</v>
      </c>
      <c r="Q16" s="42">
        <v>16100.000000000002</v>
      </c>
      <c r="R16" s="38">
        <v>1.0457644048778333E-4</v>
      </c>
      <c r="S16" s="39"/>
    </row>
    <row r="17" spans="1:19">
      <c r="A17" s="43">
        <v>4200094</v>
      </c>
      <c r="B17" s="43"/>
      <c r="C17" s="44" t="s">
        <v>37</v>
      </c>
      <c r="D17" s="28" t="e">
        <f>SUBTOTAL(9,D7:D16)-1</f>
        <v>#REF!</v>
      </c>
      <c r="E17" s="25" t="e">
        <f>SUBTOTAL(9,E7:E16)-0.0002</f>
        <v>#REF!</v>
      </c>
      <c r="F17" s="45" t="e">
        <f>SUBTOTAL(9,F7:F16)</f>
        <v>#REF!</v>
      </c>
      <c r="H17" s="13" t="e">
        <f>SUBTOTAL(9,H7:H16)</f>
        <v>#REF!</v>
      </c>
      <c r="I17" s="46" t="e">
        <f>SUBTOTAL(9,I7:I16)</f>
        <v>#REF!</v>
      </c>
      <c r="K17" s="28" t="e">
        <f>SUBTOTAL(9,K7:K16)</f>
        <v>#REF!</v>
      </c>
      <c r="L17" s="26" t="e">
        <f>SUBTOTAL(9,L7:L16)</f>
        <v>#REF!</v>
      </c>
      <c r="M17" s="25"/>
      <c r="N17" s="13" t="e">
        <f>SUBTOTAL(9,N7:N16)</f>
        <v>#REF!</v>
      </c>
      <c r="O17" s="46" t="e">
        <f>SUBTOTAL(9,O7:O16)</f>
        <v>#REF!</v>
      </c>
      <c r="P17" s="47"/>
      <c r="Q17" s="28">
        <f>SUBTOTAL(9,Q7:Q16)-1</f>
        <v>34061400.359124109</v>
      </c>
      <c r="R17" s="25">
        <f>SUBTOTAL(9,R7:R16)</f>
        <v>0.22067713354810975</v>
      </c>
      <c r="S17" s="45">
        <f>SUBTOTAL(9,S7:S16)</f>
        <v>6.7686338854310579E-2</v>
      </c>
    </row>
    <row r="18" spans="1:19" ht="8.1" customHeight="1">
      <c r="A18" s="9"/>
      <c r="B18" s="9"/>
      <c r="D18" s="28"/>
      <c r="E18" s="25"/>
      <c r="F18" s="26"/>
      <c r="H18" s="48"/>
      <c r="I18" s="49"/>
      <c r="K18" s="28"/>
      <c r="L18" s="49"/>
      <c r="N18" s="48"/>
      <c r="O18" s="49"/>
      <c r="Q18" s="28"/>
      <c r="R18" s="25"/>
      <c r="S18" s="26"/>
    </row>
    <row r="19" spans="1:19">
      <c r="A19" s="9"/>
      <c r="B19" s="9"/>
      <c r="C19" s="50" t="s">
        <v>38</v>
      </c>
      <c r="D19" s="31" t="e">
        <f>+#REF!+34</f>
        <v>#REF!</v>
      </c>
      <c r="E19" s="25" t="e">
        <f>+D19/$E$6</f>
        <v>#REF!</v>
      </c>
      <c r="F19" s="26"/>
      <c r="H19" s="11" t="e">
        <f t="shared" ref="H19:I32" si="3">+D19-K19</f>
        <v>#REF!</v>
      </c>
      <c r="I19" s="27" t="e">
        <f t="shared" si="3"/>
        <v>#REF!</v>
      </c>
      <c r="K19" s="28"/>
      <c r="L19" s="26" t="e">
        <f>+K19/$K$5</f>
        <v>#REF!</v>
      </c>
      <c r="M19" s="25"/>
      <c r="N19" s="11">
        <f t="shared" ref="N19:O32" si="4">+K19-Q19</f>
        <v>-195200.40602415576</v>
      </c>
      <c r="O19" s="27" t="e">
        <f t="shared" si="4"/>
        <v>#REF!</v>
      </c>
      <c r="Q19" s="28">
        <v>195200.40602415576</v>
      </c>
      <c r="R19" s="25">
        <v>1.2679107853277184E-3</v>
      </c>
      <c r="S19" s="26"/>
    </row>
    <row r="20" spans="1:19">
      <c r="A20" s="9"/>
      <c r="B20" s="9"/>
      <c r="C20" s="50" t="s">
        <v>39</v>
      </c>
      <c r="D20" s="30" t="e">
        <f>+#REF!+18</f>
        <v>#REF!</v>
      </c>
      <c r="E20" s="25" t="e">
        <f>+D20/$E$6</f>
        <v>#REF!</v>
      </c>
      <c r="F20" s="26"/>
      <c r="H20" s="11" t="e">
        <f t="shared" si="3"/>
        <v>#REF!</v>
      </c>
      <c r="I20" s="27" t="e">
        <f t="shared" si="3"/>
        <v>#REF!</v>
      </c>
      <c r="K20" s="28"/>
      <c r="L20" s="26" t="e">
        <f>+K20/$K$5</f>
        <v>#REF!</v>
      </c>
      <c r="M20" s="25"/>
      <c r="N20" s="11">
        <f t="shared" si="4"/>
        <v>-102500.31620068442</v>
      </c>
      <c r="O20" s="27" t="e">
        <f t="shared" si="4"/>
        <v>#REF!</v>
      </c>
      <c r="Q20" s="28">
        <v>102500.31620068442</v>
      </c>
      <c r="R20" s="25">
        <v>6.6578374019502146E-4</v>
      </c>
      <c r="S20" s="26"/>
    </row>
    <row r="21" spans="1:19">
      <c r="A21" s="9" t="s">
        <v>17</v>
      </c>
      <c r="B21" s="9" t="s">
        <v>40</v>
      </c>
      <c r="C21" s="3" t="s">
        <v>41</v>
      </c>
      <c r="D21" s="30" t="e">
        <f>#REF!*(1+#REF!+#REF!)*26+23</f>
        <v>#REF!</v>
      </c>
      <c r="E21" s="32" t="e">
        <f>+D21/$F$6</f>
        <v>#REF!</v>
      </c>
      <c r="F21" s="33" t="e">
        <f>+D21/$F$6</f>
        <v>#REF!</v>
      </c>
      <c r="H21" s="34" t="e">
        <f t="shared" si="3"/>
        <v>#REF!</v>
      </c>
      <c r="I21" s="35" t="e">
        <f t="shared" si="3"/>
        <v>#REF!</v>
      </c>
      <c r="K21" s="36" t="e">
        <f>#REF!-#REF!</f>
        <v>#REF!</v>
      </c>
      <c r="L21" s="33" t="e">
        <f>+K21/$L$5</f>
        <v>#REF!</v>
      </c>
      <c r="M21" s="25"/>
      <c r="N21" s="34" t="e">
        <f t="shared" si="4"/>
        <v>#REF!</v>
      </c>
      <c r="O21" s="35" t="e">
        <f t="shared" si="4"/>
        <v>#REF!</v>
      </c>
      <c r="Q21" s="36">
        <v>2436500.3002999998</v>
      </c>
      <c r="R21" s="32">
        <v>1.5694796770946144E-2</v>
      </c>
      <c r="S21" s="33">
        <f>+Q21/$S$6</f>
        <v>1.5694796770946144E-2</v>
      </c>
    </row>
    <row r="22" spans="1:19">
      <c r="A22" s="9" t="s">
        <v>17</v>
      </c>
      <c r="B22" s="9" t="s">
        <v>42</v>
      </c>
      <c r="C22" s="3" t="s">
        <v>43</v>
      </c>
      <c r="D22" s="30">
        <v>1735000</v>
      </c>
      <c r="E22" s="32" t="e">
        <f>+D22/$F$6-0.00011</f>
        <v>#REF!</v>
      </c>
      <c r="F22" s="33" t="e">
        <f>+D22/$F$6-0.00011</f>
        <v>#REF!</v>
      </c>
      <c r="H22" s="34" t="e">
        <f t="shared" si="3"/>
        <v>#REF!</v>
      </c>
      <c r="I22" s="35" t="e">
        <f t="shared" si="3"/>
        <v>#REF!</v>
      </c>
      <c r="K22" s="36" t="e">
        <f>#REF!+#REF!-#REF!</f>
        <v>#REF!</v>
      </c>
      <c r="L22" s="33" t="e">
        <f>+K22/$L$5</f>
        <v>#REF!</v>
      </c>
      <c r="M22" s="25"/>
      <c r="N22" s="34" t="e">
        <f t="shared" si="4"/>
        <v>#REF!</v>
      </c>
      <c r="O22" s="35" t="e">
        <f t="shared" si="4"/>
        <v>#REF!</v>
      </c>
      <c r="Q22" s="36">
        <v>2040000</v>
      </c>
      <c r="R22" s="32">
        <v>1.3030727053794296E-2</v>
      </c>
      <c r="S22" s="33">
        <f>+Q22/$S$6-0.00011</f>
        <v>1.3030727053794296E-2</v>
      </c>
    </row>
    <row r="23" spans="1:19">
      <c r="A23" s="9" t="s">
        <v>17</v>
      </c>
      <c r="B23" s="9" t="s">
        <v>44</v>
      </c>
      <c r="C23" s="3" t="s">
        <v>45</v>
      </c>
      <c r="D23" s="31" t="e">
        <f>32775078+((#REF!*1.015*(0.14998-0.14484)))+(#REF!*1.015)-(((#REF!*1.015*(0.14998-0.14484)))+(#REF!*1.015))+22</f>
        <v>#REF!</v>
      </c>
      <c r="E23" s="32" t="e">
        <f>+D23/$F$6</f>
        <v>#REF!</v>
      </c>
      <c r="F23" s="33" t="e">
        <f>+D23/$F$6</f>
        <v>#REF!</v>
      </c>
      <c r="H23" s="34" t="e">
        <f t="shared" si="3"/>
        <v>#REF!</v>
      </c>
      <c r="I23" s="35" t="e">
        <f t="shared" si="3"/>
        <v>#REF!</v>
      </c>
      <c r="K23" s="36" t="e">
        <f>#REF!-#REF!</f>
        <v>#REF!</v>
      </c>
      <c r="L23" s="33" t="e">
        <f>+K23/$L$5</f>
        <v>#REF!</v>
      </c>
      <c r="M23" s="25"/>
      <c r="N23" s="34" t="e">
        <f t="shared" si="4"/>
        <v>#REF!</v>
      </c>
      <c r="O23" s="35" t="e">
        <f t="shared" si="4"/>
        <v>#REF!</v>
      </c>
      <c r="Q23" s="36">
        <v>41364600.028135881</v>
      </c>
      <c r="R23" s="32">
        <v>0.26645143071524779</v>
      </c>
      <c r="S23" s="33">
        <f>+Q23/$S$6</f>
        <v>0.26645143071524779</v>
      </c>
    </row>
    <row r="24" spans="1:19">
      <c r="A24" s="9" t="s">
        <v>17</v>
      </c>
      <c r="B24" s="9" t="s">
        <v>46</v>
      </c>
      <c r="C24" s="3" t="s">
        <v>47</v>
      </c>
      <c r="D24" s="51" t="e">
        <f>+(#REF!+#REF!)/2+10</f>
        <v>#REF!</v>
      </c>
      <c r="E24" s="32" t="e">
        <f>+D24/$E$6-0.00001</f>
        <v>#REF!</v>
      </c>
      <c r="F24" s="33" t="e">
        <f>+D24/$F$6</f>
        <v>#REF!</v>
      </c>
      <c r="H24" s="36" t="e">
        <f t="shared" si="3"/>
        <v>#REF!</v>
      </c>
      <c r="I24" s="35" t="e">
        <f t="shared" si="3"/>
        <v>#REF!</v>
      </c>
      <c r="K24" s="36" t="e">
        <f>#REF!-#REF!</f>
        <v>#REF!</v>
      </c>
      <c r="L24" s="33" t="e">
        <f>+K24/$L$5</f>
        <v>#REF!</v>
      </c>
      <c r="M24" s="25"/>
      <c r="N24" s="36" t="e">
        <f t="shared" si="4"/>
        <v>#REF!</v>
      </c>
      <c r="O24" s="35" t="e">
        <f t="shared" si="4"/>
        <v>#REF!</v>
      </c>
      <c r="Q24" s="36">
        <v>169500</v>
      </c>
      <c r="R24" s="32">
        <v>1.0909755691105138E-3</v>
      </c>
      <c r="S24" s="33">
        <f>+Q24/$S$6</f>
        <v>1.0918398213814377E-3</v>
      </c>
    </row>
    <row r="25" spans="1:19">
      <c r="A25" s="9" t="s">
        <v>17</v>
      </c>
      <c r="B25" s="9" t="s">
        <v>48</v>
      </c>
      <c r="C25" s="3" t="s">
        <v>49</v>
      </c>
      <c r="D25" s="52" t="e">
        <f>+#REF!+(#REF!*5)+(#REF!*6*1.013)+42</f>
        <v>#REF!</v>
      </c>
      <c r="E25" s="25" t="e">
        <f>+D25/$E$6</f>
        <v>#REF!</v>
      </c>
      <c r="F25" s="26"/>
      <c r="H25" s="11" t="e">
        <f t="shared" si="3"/>
        <v>#REF!</v>
      </c>
      <c r="I25" s="27" t="e">
        <f t="shared" si="3"/>
        <v>#REF!</v>
      </c>
      <c r="K25" s="28" t="e">
        <f>#REF!-#REF!</f>
        <v>#REF!</v>
      </c>
      <c r="L25" s="26" t="e">
        <f>+K25/$K$5</f>
        <v>#REF!</v>
      </c>
      <c r="M25" s="25"/>
      <c r="N25" s="11" t="e">
        <f t="shared" si="4"/>
        <v>#REF!</v>
      </c>
      <c r="O25" s="27" t="e">
        <f t="shared" si="4"/>
        <v>#REF!</v>
      </c>
      <c r="Q25" s="28">
        <v>3416799.8697499996</v>
      </c>
      <c r="R25" s="25">
        <v>2.2193588089290471E-2</v>
      </c>
      <c r="S25" s="26"/>
    </row>
    <row r="26" spans="1:19">
      <c r="A26" s="9" t="s">
        <v>17</v>
      </c>
      <c r="B26" s="9" t="s">
        <v>50</v>
      </c>
      <c r="C26" s="3" t="s">
        <v>51</v>
      </c>
      <c r="D26" s="31" t="e">
        <f>+#REF!+(#REF!*5)+(#REF!*6*1.037)+(#REF!)-61</f>
        <v>#REF!</v>
      </c>
      <c r="E26" s="32" t="e">
        <f>+D26/$F$6</f>
        <v>#REF!</v>
      </c>
      <c r="F26" s="33" t="e">
        <f>+D26/$F$6</f>
        <v>#REF!</v>
      </c>
      <c r="H26" s="34" t="e">
        <f t="shared" si="3"/>
        <v>#REF!</v>
      </c>
      <c r="I26" s="35" t="e">
        <f t="shared" si="3"/>
        <v>#REF!</v>
      </c>
      <c r="K26" s="36" t="e">
        <f>#REF!-#REF!</f>
        <v>#REF!</v>
      </c>
      <c r="L26" s="33" t="e">
        <f>+K26/$L$5</f>
        <v>#REF!</v>
      </c>
      <c r="M26" s="25"/>
      <c r="N26" s="34" t="e">
        <f t="shared" si="4"/>
        <v>#REF!</v>
      </c>
      <c r="O26" s="35" t="e">
        <f t="shared" si="4"/>
        <v>#REF!</v>
      </c>
      <c r="Q26" s="36">
        <v>25906499.951200001</v>
      </c>
      <c r="R26" s="32">
        <v>0.16687757096953651</v>
      </c>
      <c r="S26" s="33">
        <f>+Q26/$S$6</f>
        <v>0.16687757096953651</v>
      </c>
    </row>
    <row r="27" spans="1:19">
      <c r="A27" s="9" t="s">
        <v>17</v>
      </c>
      <c r="B27" s="9" t="s">
        <v>52</v>
      </c>
      <c r="C27" s="3" t="s">
        <v>53</v>
      </c>
      <c r="D27" s="31" t="e">
        <f>+#REF!+(#REF!*5)+(#REF!*6*1.037)+44</f>
        <v>#REF!</v>
      </c>
      <c r="E27" s="25" t="e">
        <f>+D27/$E$6</f>
        <v>#REF!</v>
      </c>
      <c r="F27" s="26"/>
      <c r="H27" s="11" t="e">
        <f t="shared" si="3"/>
        <v>#REF!</v>
      </c>
      <c r="I27" s="27" t="e">
        <f t="shared" si="3"/>
        <v>#REF!</v>
      </c>
      <c r="K27" s="28" t="e">
        <f>#REF!-#REF!</f>
        <v>#REF!</v>
      </c>
      <c r="L27" s="26" t="e">
        <f>+K27/$K$5</f>
        <v>#REF!</v>
      </c>
      <c r="M27" s="25"/>
      <c r="N27" s="11" t="e">
        <f t="shared" si="4"/>
        <v>#REF!</v>
      </c>
      <c r="O27" s="27" t="e">
        <f t="shared" si="4"/>
        <v>#REF!</v>
      </c>
      <c r="Q27" s="28">
        <v>13459300.39696</v>
      </c>
      <c r="R27" s="25">
        <v>8.7423958196887308E-2</v>
      </c>
      <c r="S27" s="26"/>
    </row>
    <row r="28" spans="1:19">
      <c r="A28" s="9">
        <v>13450</v>
      </c>
      <c r="B28" s="9">
        <v>52</v>
      </c>
      <c r="C28" s="3" t="s">
        <v>54</v>
      </c>
      <c r="D28" s="51">
        <v>10000000</v>
      </c>
      <c r="E28" s="25" t="e">
        <f>+D28/$E$6</f>
        <v>#REF!</v>
      </c>
      <c r="F28" s="26"/>
      <c r="H28" s="11" t="e">
        <f t="shared" si="3"/>
        <v>#REF!</v>
      </c>
      <c r="I28" s="27" t="e">
        <f t="shared" si="3"/>
        <v>#REF!</v>
      </c>
      <c r="K28" s="28" t="e">
        <f>+#REF!</f>
        <v>#REF!</v>
      </c>
      <c r="L28" s="26" t="e">
        <f>+K28/$K$5</f>
        <v>#REF!</v>
      </c>
      <c r="M28" s="25"/>
      <c r="N28" s="11" t="e">
        <f t="shared" si="4"/>
        <v>#REF!</v>
      </c>
      <c r="O28" s="27" t="e">
        <f t="shared" si="4"/>
        <v>#REF!</v>
      </c>
      <c r="Q28" s="28">
        <v>5000000</v>
      </c>
      <c r="R28" s="25">
        <v>3.2477155430988607E-2</v>
      </c>
      <c r="S28" s="26"/>
    </row>
    <row r="29" spans="1:19">
      <c r="A29" s="9" t="s">
        <v>17</v>
      </c>
      <c r="B29" s="9" t="s">
        <v>55</v>
      </c>
      <c r="C29" s="3" t="s">
        <v>56</v>
      </c>
      <c r="D29" s="30" t="e">
        <f>+(#REF!*6)+(#REF!*6*1.098)+5</f>
        <v>#REF!</v>
      </c>
      <c r="E29" s="25" t="e">
        <f>+D29/$E$6</f>
        <v>#REF!</v>
      </c>
      <c r="F29" s="26"/>
      <c r="H29" s="11" t="e">
        <f t="shared" si="3"/>
        <v>#REF!</v>
      </c>
      <c r="I29" s="27" t="e">
        <f t="shared" si="3"/>
        <v>#REF!</v>
      </c>
      <c r="K29" s="28" t="e">
        <f>#REF!-#REF!</f>
        <v>#REF!</v>
      </c>
      <c r="L29" s="26" t="e">
        <f>+K29/$K$5</f>
        <v>#REF!</v>
      </c>
      <c r="M29" s="25"/>
      <c r="N29" s="11" t="e">
        <f t="shared" si="4"/>
        <v>#REF!</v>
      </c>
      <c r="O29" s="27" t="e">
        <f t="shared" si="4"/>
        <v>#REF!</v>
      </c>
      <c r="Q29" s="28">
        <v>197799.57</v>
      </c>
      <c r="R29" s="25">
        <v>1.2847934758145423E-3</v>
      </c>
      <c r="S29" s="26"/>
    </row>
    <row r="30" spans="1:19">
      <c r="A30" s="9" t="s">
        <v>17</v>
      </c>
      <c r="B30" s="9" t="s">
        <v>57</v>
      </c>
      <c r="C30" s="3" t="s">
        <v>58</v>
      </c>
      <c r="D30" s="30" t="e">
        <f>+#REF!*12+34</f>
        <v>#REF!</v>
      </c>
      <c r="E30" s="25" t="e">
        <f>+D30/$E$6</f>
        <v>#REF!</v>
      </c>
      <c r="F30" s="26"/>
      <c r="H30" s="11" t="e">
        <f t="shared" si="3"/>
        <v>#REF!</v>
      </c>
      <c r="I30" s="27" t="e">
        <f t="shared" si="3"/>
        <v>#REF!</v>
      </c>
      <c r="K30" s="28" t="e">
        <f>#REF!-#REF!</f>
        <v>#REF!</v>
      </c>
      <c r="L30" s="26" t="e">
        <f>+K30/$K$5</f>
        <v>#REF!</v>
      </c>
      <c r="M30" s="25"/>
      <c r="N30" s="11" t="e">
        <f t="shared" si="4"/>
        <v>#REF!</v>
      </c>
      <c r="O30" s="27" t="e">
        <f t="shared" si="4"/>
        <v>#REF!</v>
      </c>
      <c r="Q30" s="28">
        <v>287000.01728000003</v>
      </c>
      <c r="R30" s="25">
        <v>1.8641888339797953E-3</v>
      </c>
      <c r="S30" s="26"/>
    </row>
    <row r="31" spans="1:19">
      <c r="A31" s="9" t="s">
        <v>17</v>
      </c>
      <c r="B31" s="9" t="s">
        <v>59</v>
      </c>
      <c r="C31" s="3" t="s">
        <v>60</v>
      </c>
      <c r="D31" s="52" t="e">
        <f>+#REF!*(1+#REF!+#REF!)-18</f>
        <v>#REF!</v>
      </c>
      <c r="E31" s="32" t="e">
        <f>+D31/$F$6</f>
        <v>#REF!</v>
      </c>
      <c r="F31" s="33" t="e">
        <f>+D31/$F$6</f>
        <v>#REF!</v>
      </c>
      <c r="H31" s="34" t="e">
        <f t="shared" si="3"/>
        <v>#REF!</v>
      </c>
      <c r="I31" s="35" t="e">
        <f t="shared" si="3"/>
        <v>#REF!</v>
      </c>
      <c r="K31" s="36" t="e">
        <f>#REF!-#REF!</f>
        <v>#REF!</v>
      </c>
      <c r="L31" s="33" t="e">
        <f>+K31/$L$5</f>
        <v>#REF!</v>
      </c>
      <c r="M31" s="25"/>
      <c r="N31" s="34" t="e">
        <f t="shared" si="4"/>
        <v>#REF!</v>
      </c>
      <c r="O31" s="35" t="e">
        <f t="shared" si="4"/>
        <v>#REF!</v>
      </c>
      <c r="Q31" s="36">
        <v>7999100.3542999998</v>
      </c>
      <c r="R31" s="32">
        <v>5.1526467858708604E-2</v>
      </c>
      <c r="S31" s="33">
        <f>+Q31/$S$6</f>
        <v>5.1526467858708604E-2</v>
      </c>
    </row>
    <row r="32" spans="1:19">
      <c r="A32" s="9" t="s">
        <v>17</v>
      </c>
      <c r="B32" s="9" t="s">
        <v>61</v>
      </c>
      <c r="C32" s="3" t="s">
        <v>62</v>
      </c>
      <c r="D32" s="53">
        <v>0</v>
      </c>
      <c r="E32" s="38"/>
      <c r="F32" s="39"/>
      <c r="H32" s="40">
        <f t="shared" si="3"/>
        <v>0</v>
      </c>
      <c r="I32" s="41">
        <f t="shared" si="3"/>
        <v>0</v>
      </c>
      <c r="K32" s="42">
        <v>0</v>
      </c>
      <c r="L32" s="39"/>
      <c r="M32" s="25"/>
      <c r="N32" s="40">
        <f t="shared" si="4"/>
        <v>0</v>
      </c>
      <c r="O32" s="41">
        <f t="shared" si="4"/>
        <v>0</v>
      </c>
      <c r="Q32" s="42">
        <v>0</v>
      </c>
      <c r="R32" s="38"/>
      <c r="S32" s="39"/>
    </row>
    <row r="33" spans="1:19">
      <c r="A33" s="43">
        <v>4200095</v>
      </c>
      <c r="B33" s="43"/>
      <c r="C33" s="50" t="s">
        <v>63</v>
      </c>
      <c r="D33" s="11" t="e">
        <f>SUBTOTAL(9,D19:D32)-1</f>
        <v>#REF!</v>
      </c>
      <c r="E33" s="54" t="e">
        <f>SUBTOTAL(9,E19:E32)-0.0001</f>
        <v>#REF!</v>
      </c>
      <c r="F33" s="55" t="e">
        <f>SUBTOTAL(9,F19:F32)</f>
        <v>#REF!</v>
      </c>
      <c r="H33" s="13" t="e">
        <f>SUBTOTAL(9,H19:H32)</f>
        <v>#REF!</v>
      </c>
      <c r="I33" s="55" t="e">
        <f>SUBTOTAL(9,I19:I32)</f>
        <v>#REF!</v>
      </c>
      <c r="K33" s="28" t="e">
        <f>SUBTOTAL(9,K19:K32)</f>
        <v>#REF!</v>
      </c>
      <c r="L33" s="26" t="e">
        <f>SUBTOTAL(9,L19:L32)</f>
        <v>#REF!</v>
      </c>
      <c r="M33" s="25"/>
      <c r="N33" s="13" t="e">
        <f>SUBTOTAL(9,N19:N32)</f>
        <v>#REF!</v>
      </c>
      <c r="O33" s="55" t="e">
        <f>SUBTOTAL(9,O19:O32)</f>
        <v>#REF!</v>
      </c>
      <c r="P33" s="47" t="e">
        <f>+E33-L33-I33</f>
        <v>#REF!</v>
      </c>
      <c r="Q33" s="11">
        <f>SUBTOTAL(9,Q19:Q32)-1</f>
        <v>102574800.21015072</v>
      </c>
      <c r="R33" s="54">
        <f>SUBTOTAL(9,R19:R32)+0.0001+0.00001</f>
        <v>0.66195934748982732</v>
      </c>
      <c r="S33" s="55">
        <f>SUBTOTAL(9,S19:S32)</f>
        <v>0.51467283318961476</v>
      </c>
    </row>
    <row r="34" spans="1:19" ht="8.1" customHeight="1">
      <c r="A34" s="43"/>
      <c r="B34" s="43"/>
      <c r="D34" s="11"/>
      <c r="E34" s="56"/>
      <c r="F34" s="57"/>
      <c r="H34" s="11"/>
      <c r="I34" s="27"/>
      <c r="K34" s="28"/>
      <c r="L34" s="26"/>
      <c r="M34" s="25"/>
      <c r="N34" s="11"/>
      <c r="O34" s="27"/>
      <c r="P34" s="58"/>
      <c r="Q34" s="11"/>
      <c r="R34" s="56"/>
      <c r="S34" s="57"/>
    </row>
    <row r="35" spans="1:19">
      <c r="A35" s="9" t="s">
        <v>17</v>
      </c>
      <c r="B35" s="9">
        <v>52</v>
      </c>
      <c r="C35" s="3" t="s">
        <v>64</v>
      </c>
      <c r="D35" s="59" t="e">
        <f>51219000-D27-D28</f>
        <v>#REF!</v>
      </c>
      <c r="E35" s="38" t="e">
        <f>+D35/$E$6</f>
        <v>#REF!</v>
      </c>
      <c r="F35" s="39"/>
      <c r="H35" s="40" t="e">
        <f>+D35-K35</f>
        <v>#REF!</v>
      </c>
      <c r="I35" s="41" t="e">
        <f>+E35-L35</f>
        <v>#REF!</v>
      </c>
      <c r="K35" s="60" t="e">
        <f>+#REF!+#REF!</f>
        <v>#REF!</v>
      </c>
      <c r="L35" s="61" t="e">
        <f>+K35/K5</f>
        <v>#REF!</v>
      </c>
      <c r="M35" s="25"/>
      <c r="N35" s="40" t="e">
        <f>+K35-Q35</f>
        <v>#REF!</v>
      </c>
      <c r="O35" s="41" t="e">
        <f>+L35-R35</f>
        <v>#REF!</v>
      </c>
      <c r="P35" s="58"/>
      <c r="Q35" s="40">
        <v>27802699.603040002</v>
      </c>
      <c r="R35" s="38">
        <v>0.18059051928180309</v>
      </c>
      <c r="S35" s="39"/>
    </row>
    <row r="36" spans="1:19">
      <c r="A36" s="43">
        <v>4200093</v>
      </c>
      <c r="B36" s="43"/>
      <c r="D36" s="11" t="e">
        <f>SUBTOTAL(9,D35)</f>
        <v>#REF!</v>
      </c>
      <c r="E36" s="25" t="e">
        <f>SUBTOTAL(9,E35)</f>
        <v>#REF!</v>
      </c>
      <c r="F36" s="57"/>
      <c r="H36" s="62" t="e">
        <f>SUBTOTAL(9,H35)</f>
        <v>#REF!</v>
      </c>
      <c r="I36" s="46" t="e">
        <f>SUBTOTAL(9,I35)</f>
        <v>#REF!</v>
      </c>
      <c r="K36" s="63" t="e">
        <f>SUBTOTAL(9,K35)</f>
        <v>#REF!</v>
      </c>
      <c r="L36" s="64" t="e">
        <f>SUBTOTAL(9,L35)</f>
        <v>#REF!</v>
      </c>
      <c r="M36" s="25"/>
      <c r="N36" s="62" t="e">
        <f>SUBTOTAL(9,N35)</f>
        <v>#REF!</v>
      </c>
      <c r="O36" s="46" t="e">
        <f>SUBTOTAL(9,O35)</f>
        <v>#REF!</v>
      </c>
      <c r="P36" s="58"/>
      <c r="Q36" s="11">
        <f>SUBTOTAL(9,Q35)</f>
        <v>27802699.603040002</v>
      </c>
      <c r="R36" s="25">
        <f>SUBTOTAL(9,R35)</f>
        <v>0.18059051928180309</v>
      </c>
      <c r="S36" s="57"/>
    </row>
    <row r="37" spans="1:19">
      <c r="D37" s="48"/>
      <c r="F37" s="49"/>
      <c r="H37" s="65"/>
      <c r="I37" s="66"/>
      <c r="K37" s="67"/>
      <c r="L37" s="68"/>
      <c r="N37" s="65"/>
      <c r="O37" s="66"/>
      <c r="Q37" s="48"/>
      <c r="S37" s="49"/>
    </row>
    <row r="38" spans="1:19" s="69" customFormat="1" ht="16.5" thickBot="1">
      <c r="C38" s="70"/>
      <c r="D38" s="71" t="e">
        <f>SUBTOTAL(9,D7:D36)-2</f>
        <v>#REF!</v>
      </c>
      <c r="E38" s="72" t="e">
        <f>SUBTOTAL(9,E7:E36)-0.0003</f>
        <v>#REF!</v>
      </c>
      <c r="F38" s="73" t="e">
        <f>SUBTOTAL(9,F7:F36)</f>
        <v>#REF!</v>
      </c>
      <c r="H38" s="71" t="e">
        <f>SUBTOTAL(9,H7:H36)</f>
        <v>#REF!</v>
      </c>
      <c r="I38" s="74" t="e">
        <f>+E38-L38</f>
        <v>#REF!</v>
      </c>
      <c r="K38" s="71" t="e">
        <f>SUBTOTAL(9,K7:K36)</f>
        <v>#REF!</v>
      </c>
      <c r="L38" s="73" t="e">
        <f>SUBTOTAL(9,L7:L36)</f>
        <v>#REF!</v>
      </c>
      <c r="M38" s="75"/>
      <c r="N38" s="71" t="e">
        <f>SUBTOTAL(9,N7:N36)</f>
        <v>#REF!</v>
      </c>
      <c r="O38" s="74" t="e">
        <f>+L38-R38</f>
        <v>#REF!</v>
      </c>
      <c r="Q38" s="71">
        <f>SUBTOTAL(9,Q7:Q36)-2</f>
        <v>164438900.17231482</v>
      </c>
      <c r="R38" s="72">
        <f>SUBTOTAL(9,R7:R36)+0.0002</f>
        <v>1.0633170003197403</v>
      </c>
      <c r="S38" s="73">
        <f>SUBTOTAL(9,S7:S36)</f>
        <v>0.5823591720439254</v>
      </c>
    </row>
    <row r="39" spans="1:19">
      <c r="C39" s="70"/>
      <c r="D39" s="76"/>
      <c r="E39" s="77"/>
      <c r="F39" s="77"/>
      <c r="H39" s="47"/>
      <c r="I39" s="78"/>
      <c r="K39" s="79"/>
      <c r="L39" s="56"/>
      <c r="M39" s="56"/>
      <c r="N39" s="47"/>
      <c r="O39" s="78"/>
      <c r="Q39" s="76"/>
      <c r="R39" s="77"/>
      <c r="S39" s="77"/>
    </row>
    <row r="40" spans="1:19">
      <c r="D40" s="80" t="s">
        <v>65</v>
      </c>
      <c r="H40" s="9"/>
      <c r="K40" s="80" t="s">
        <v>66</v>
      </c>
      <c r="N40" s="9"/>
      <c r="Q40" s="80" t="s">
        <v>65</v>
      </c>
    </row>
    <row r="41" spans="1:19">
      <c r="D41" s="3" t="s">
        <v>67</v>
      </c>
      <c r="E41" s="81" t="e">
        <f>F6</f>
        <v>#REF!</v>
      </c>
      <c r="F41" s="82"/>
      <c r="H41" s="81"/>
      <c r="I41" s="82"/>
      <c r="K41" s="3" t="s">
        <v>67</v>
      </c>
      <c r="L41" s="4" t="e">
        <f>+L5</f>
        <v>#REF!</v>
      </c>
      <c r="N41" s="81"/>
      <c r="O41" s="82"/>
      <c r="Q41" s="3" t="s">
        <v>67</v>
      </c>
      <c r="R41" s="81">
        <f>S6</f>
        <v>155242551.7742539</v>
      </c>
      <c r="S41" s="82"/>
    </row>
    <row r="42" spans="1:19">
      <c r="D42" s="3" t="s">
        <v>68</v>
      </c>
      <c r="E42" s="81" t="e">
        <f>+D7</f>
        <v>#REF!</v>
      </c>
      <c r="F42" s="82"/>
      <c r="H42" s="81"/>
      <c r="I42" s="82"/>
      <c r="K42" s="3" t="s">
        <v>68</v>
      </c>
      <c r="L42" s="4" t="e">
        <f>+K7</f>
        <v>#REF!</v>
      </c>
      <c r="N42" s="81"/>
      <c r="O42" s="82"/>
      <c r="Q42" s="3" t="s">
        <v>68</v>
      </c>
      <c r="R42" s="81">
        <f>+Q7</f>
        <v>13205400.474301208</v>
      </c>
      <c r="S42" s="82"/>
    </row>
    <row r="43" spans="1:19">
      <c r="D43" s="3" t="s">
        <v>69</v>
      </c>
      <c r="E43" s="81" t="e">
        <f>+D8</f>
        <v>#REF!</v>
      </c>
      <c r="F43" s="82"/>
      <c r="H43" s="81"/>
      <c r="I43" s="82"/>
      <c r="K43" s="3" t="s">
        <v>69</v>
      </c>
      <c r="L43" s="4" t="e">
        <f>+K8</f>
        <v>#REF!</v>
      </c>
      <c r="N43" s="81"/>
      <c r="O43" s="82"/>
      <c r="Q43" s="3" t="s">
        <v>69</v>
      </c>
      <c r="R43" s="81">
        <f>+Q8</f>
        <v>6834900.4133789614</v>
      </c>
      <c r="S43" s="82"/>
    </row>
    <row r="44" spans="1:19">
      <c r="D44" s="3" t="s">
        <v>70</v>
      </c>
      <c r="E44" s="81" t="e">
        <f>+D9+D10</f>
        <v>#REF!</v>
      </c>
      <c r="F44" s="82"/>
      <c r="H44" s="81"/>
      <c r="I44" s="82"/>
      <c r="K44" s="3" t="s">
        <v>70</v>
      </c>
      <c r="L44" s="4" t="e">
        <f>+K9+K10</f>
        <v>#REF!</v>
      </c>
      <c r="N44" s="81"/>
      <c r="O44" s="82"/>
      <c r="Q44" s="3" t="s">
        <v>70</v>
      </c>
      <c r="R44" s="81">
        <f>+Q9+Q10</f>
        <v>582500.58899999992</v>
      </c>
      <c r="S44" s="82"/>
    </row>
    <row r="45" spans="1:19">
      <c r="D45" s="3" t="s">
        <v>71</v>
      </c>
      <c r="E45" s="81" t="e">
        <f>D11</f>
        <v>#REF!</v>
      </c>
      <c r="F45" s="82"/>
      <c r="H45" s="81"/>
      <c r="I45" s="82"/>
      <c r="K45" s="3" t="s">
        <v>71</v>
      </c>
      <c r="L45" s="4" t="e">
        <f t="shared" ref="L45:L50" si="5">+K11</f>
        <v>#REF!</v>
      </c>
      <c r="N45" s="81"/>
      <c r="O45" s="82"/>
      <c r="Q45" s="3" t="s">
        <v>71</v>
      </c>
      <c r="R45" s="81">
        <f>Q11</f>
        <v>2208999.9451106093</v>
      </c>
      <c r="S45" s="82"/>
    </row>
    <row r="46" spans="1:19">
      <c r="D46" s="3" t="s">
        <v>72</v>
      </c>
      <c r="E46" s="81" t="e">
        <f>D12</f>
        <v>#REF!</v>
      </c>
      <c r="F46" s="82"/>
      <c r="H46" s="81"/>
      <c r="I46" s="82"/>
      <c r="K46" s="3" t="s">
        <v>72</v>
      </c>
      <c r="L46" s="4" t="e">
        <f t="shared" si="5"/>
        <v>#REF!</v>
      </c>
      <c r="N46" s="81"/>
      <c r="O46" s="82"/>
      <c r="Q46" s="3" t="s">
        <v>72</v>
      </c>
      <c r="R46" s="81">
        <f>Q12</f>
        <v>10507799.964000003</v>
      </c>
      <c r="S46" s="82"/>
    </row>
    <row r="47" spans="1:19">
      <c r="D47" s="3" t="str">
        <f>+C13</f>
        <v>Comp Leave</v>
      </c>
      <c r="E47" s="81" t="e">
        <f>+D13</f>
        <v>#REF!</v>
      </c>
      <c r="F47" s="82"/>
      <c r="H47" s="81"/>
      <c r="I47" s="82"/>
      <c r="K47" s="3" t="str">
        <f>+C13</f>
        <v>Comp Leave</v>
      </c>
      <c r="L47" s="4" t="e">
        <f t="shared" si="5"/>
        <v>#REF!</v>
      </c>
      <c r="N47" s="81"/>
      <c r="O47" s="82"/>
      <c r="Q47" s="3" t="s">
        <v>73</v>
      </c>
      <c r="R47" s="81">
        <f>+Q13</f>
        <v>4800.1300000000774</v>
      </c>
      <c r="S47" s="82"/>
    </row>
    <row r="48" spans="1:19">
      <c r="D48" s="3" t="s">
        <v>74</v>
      </c>
      <c r="E48" s="81" t="e">
        <f>D14</f>
        <v>#REF!</v>
      </c>
      <c r="F48" s="82"/>
      <c r="H48" s="81"/>
      <c r="I48" s="82"/>
      <c r="K48" s="3" t="s">
        <v>74</v>
      </c>
      <c r="L48" s="4" t="e">
        <f t="shared" si="5"/>
        <v>#REF!</v>
      </c>
      <c r="N48" s="81"/>
      <c r="O48" s="82"/>
      <c r="Q48" s="3" t="s">
        <v>74</v>
      </c>
      <c r="R48" s="81">
        <f>Q14</f>
        <v>427500.11333333334</v>
      </c>
      <c r="S48" s="82"/>
    </row>
    <row r="49" spans="1:19">
      <c r="D49" s="3" t="s">
        <v>75</v>
      </c>
      <c r="E49" s="81" t="e">
        <f>D15</f>
        <v>#REF!</v>
      </c>
      <c r="F49" s="82"/>
      <c r="H49" s="81"/>
      <c r="I49" s="82"/>
      <c r="K49" s="3" t="s">
        <v>75</v>
      </c>
      <c r="L49" s="4" t="e">
        <f t="shared" si="5"/>
        <v>#REF!</v>
      </c>
      <c r="N49" s="81"/>
      <c r="O49" s="82"/>
      <c r="Q49" s="3" t="s">
        <v>75</v>
      </c>
      <c r="R49" s="81">
        <f>Q15</f>
        <v>273399.73</v>
      </c>
      <c r="S49" s="82"/>
    </row>
    <row r="50" spans="1:19">
      <c r="D50" s="3" t="s">
        <v>76</v>
      </c>
      <c r="E50" s="83" t="e">
        <f>D16</f>
        <v>#REF!</v>
      </c>
      <c r="F50" s="82"/>
      <c r="H50" s="81"/>
      <c r="I50" s="82"/>
      <c r="K50" s="3" t="s">
        <v>76</v>
      </c>
      <c r="L50" s="84" t="e">
        <f t="shared" si="5"/>
        <v>#REF!</v>
      </c>
      <c r="N50" s="81"/>
      <c r="O50" s="82"/>
      <c r="Q50" s="3" t="s">
        <v>76</v>
      </c>
      <c r="R50" s="83">
        <f>Q16</f>
        <v>16100.000000000002</v>
      </c>
      <c r="S50" s="82"/>
    </row>
    <row r="51" spans="1:19" ht="16.5" thickBot="1">
      <c r="D51" s="69" t="s">
        <v>77</v>
      </c>
      <c r="E51" s="85" t="e">
        <f>SUM(E41:E50)</f>
        <v>#REF!</v>
      </c>
      <c r="F51" s="3" t="s">
        <v>78</v>
      </c>
      <c r="H51" s="81"/>
      <c r="I51" s="82"/>
      <c r="K51" s="69" t="s">
        <v>79</v>
      </c>
      <c r="L51" s="81" t="e">
        <f>SUM(L41:L50)</f>
        <v>#REF!</v>
      </c>
      <c r="N51" s="81"/>
      <c r="O51" s="82"/>
      <c r="Q51" s="69" t="s">
        <v>80</v>
      </c>
      <c r="R51" s="85">
        <f>SUM(R41:R50)</f>
        <v>189303953.13337803</v>
      </c>
      <c r="S51" s="3" t="s">
        <v>78</v>
      </c>
    </row>
    <row r="52" spans="1:19">
      <c r="D52" s="70" t="s">
        <v>81</v>
      </c>
      <c r="E52" s="76">
        <v>200948779</v>
      </c>
      <c r="I52" s="86"/>
      <c r="Q52" s="69"/>
      <c r="R52" s="76"/>
    </row>
    <row r="53" spans="1:19">
      <c r="D53" s="69"/>
      <c r="E53" s="76"/>
      <c r="I53" s="86"/>
      <c r="Q53" s="69"/>
      <c r="R53" s="76"/>
    </row>
    <row r="54" spans="1:19">
      <c r="D54" s="50" t="s">
        <v>82</v>
      </c>
      <c r="E54" s="25" t="e">
        <f>+E51/E52</f>
        <v>#REF!</v>
      </c>
    </row>
    <row r="55" spans="1:19">
      <c r="A55" s="87"/>
      <c r="D55" s="3" t="s">
        <v>83</v>
      </c>
      <c r="E55" s="88" t="e">
        <f>+E54*1780</f>
        <v>#REF!</v>
      </c>
    </row>
  </sheetData>
  <mergeCells count="5">
    <mergeCell ref="D4:F4"/>
    <mergeCell ref="H4:I4"/>
    <mergeCell ref="K4:L4"/>
    <mergeCell ref="N4:O4"/>
    <mergeCell ref="Q4:S4"/>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6AE371446CE04684D343C49EECD244" ma:contentTypeVersion="1" ma:contentTypeDescription="Create a new document." ma:contentTypeScope="" ma:versionID="4c384668bb97c29931f7e8fb149bf1df">
  <xsd:schema xmlns:xsd="http://www.w3.org/2001/XMLSchema" xmlns:xs="http://www.w3.org/2001/XMLSchema" xmlns:p="http://schemas.microsoft.com/office/2006/metadata/properties" xmlns:ns2="ba4c5515-d91d-4e1f-9264-41c675fa362c" targetNamespace="http://schemas.microsoft.com/office/2006/metadata/properties" ma:root="true" ma:fieldsID="7db2d172e750fb061a740b1ad0a683c5" ns2:_="">
    <xsd:import namespace="ba4c5515-d91d-4e1f-9264-41c675fa362c"/>
    <xsd:element name="properties">
      <xsd:complexType>
        <xsd:sequence>
          <xsd:element name="documentManagement">
            <xsd:complexType>
              <xsd:all>
                <xsd:element ref="ns2:ParentList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4c5515-d91d-4e1f-9264-41c675fa362c" elementFormDefault="qualified">
    <xsd:import namespace="http://schemas.microsoft.com/office/2006/documentManagement/types"/>
    <xsd:import namespace="http://schemas.microsoft.com/office/infopath/2007/PartnerControls"/>
    <xsd:element name="ParentListItemID" ma:index="8" nillable="true" ma:displayName="ParentListItemID" ma:hidden="true" ma:internalName="ParentListItemID"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arentListItemID xmlns="ba4c5515-d91d-4e1f-9264-41c675fa362c" xsi:nil="true"/>
  </documentManagement>
</p:properties>
</file>

<file path=customXml/itemProps1.xml><?xml version="1.0" encoding="utf-8"?>
<ds:datastoreItem xmlns:ds="http://schemas.openxmlformats.org/officeDocument/2006/customXml" ds:itemID="{1F74ADE3-A953-4B12-A671-A4F467D499EA}"/>
</file>

<file path=customXml/itemProps2.xml><?xml version="1.0" encoding="utf-8"?>
<ds:datastoreItem xmlns:ds="http://schemas.openxmlformats.org/officeDocument/2006/customXml" ds:itemID="{0147BBA5-89B3-49A4-AF93-0F3F3594EDEC}"/>
</file>

<file path=customXml/itemProps3.xml><?xml version="1.0" encoding="utf-8"?>
<ds:datastoreItem xmlns:ds="http://schemas.openxmlformats.org/officeDocument/2006/customXml" ds:itemID="{06F54755-FF28-4D76-A1A9-714243D659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FY13-14 w FY12-13 Lbr Calc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dcterms:created xsi:type="dcterms:W3CDTF">2014-03-05T19:42:48Z</dcterms:created>
  <dcterms:modified xsi:type="dcterms:W3CDTF">2014-03-08T05:04:00Z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0x010100536AE371446CE04684D343C49EECD244</vt:lpwstr>
  </property>
</Properties>
</file>